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현재_통합_문서"/>
  <bookViews>
    <workbookView xWindow="0" yWindow="0" windowWidth="20730" windowHeight="11760"/>
  </bookViews>
  <sheets>
    <sheet name="표지" sheetId="3" r:id="rId1"/>
    <sheet name="총칙" sheetId="4" r:id="rId2"/>
    <sheet name="총괄표" sheetId="5" r:id="rId3"/>
    <sheet name="(학교회계) 세입 예산서" sheetId="1" r:id="rId4"/>
    <sheet name="(학교회계) 세출 예산서" sheetId="2" r:id="rId5"/>
  </sheets>
  <externalReferences>
    <externalReference r:id="rId6"/>
  </externalReferences>
  <definedNames>
    <definedName name="_xlnm.Print_Area" localSheetId="3">'(학교회계) 세입 예산서'!$A$1:$H$74</definedName>
    <definedName name="_xlnm.Print_Area" localSheetId="4">'(학교회계) 세출 예산서'!$A$1:$H$153</definedName>
    <definedName name="_xlnm.Print_Area" localSheetId="2">총괄표!$A$1:$H$25</definedName>
    <definedName name="_xlnm.Print_Titles" localSheetId="3">'(학교회계) 세입 예산서'!$1:$4</definedName>
    <definedName name="_xlnm.Print_Titles" localSheetId="4">'(학교회계) 세출 예산서'!$1:$4</definedName>
  </definedNames>
  <calcPr calcId="145621"/>
</workbook>
</file>

<file path=xl/calcChain.xml><?xml version="1.0" encoding="utf-8"?>
<calcChain xmlns="http://schemas.openxmlformats.org/spreadsheetml/2006/main">
  <c r="H138" i="2" l="1"/>
  <c r="H72" i="1"/>
  <c r="E73" i="1"/>
  <c r="E25" i="2" l="1"/>
  <c r="E16" i="2"/>
  <c r="E5" i="2"/>
  <c r="H118" i="2"/>
  <c r="F116" i="2" s="1"/>
  <c r="D138" i="2"/>
  <c r="F138" i="2" s="1"/>
  <c r="H64" i="2"/>
  <c r="H53" i="2"/>
  <c r="H90" i="2"/>
  <c r="H89" i="2"/>
  <c r="H121" i="2"/>
  <c r="H117" i="2"/>
  <c r="H19" i="1"/>
  <c r="H16" i="1"/>
  <c r="H11" i="1"/>
  <c r="H10" i="1"/>
  <c r="H125" i="2" l="1"/>
  <c r="D45" i="1"/>
  <c r="D42" i="1"/>
  <c r="E31" i="1"/>
  <c r="F33" i="1"/>
  <c r="D33" i="1" s="1"/>
  <c r="H35" i="1"/>
  <c r="F35" i="1" s="1"/>
  <c r="D35" i="1" s="1"/>
  <c r="H33" i="1"/>
  <c r="H32" i="1"/>
  <c r="F32" i="1" s="1"/>
  <c r="D32" i="1" s="1"/>
  <c r="D37" i="1"/>
  <c r="D38" i="1"/>
  <c r="D36" i="1"/>
  <c r="D27" i="1"/>
  <c r="H25" i="1"/>
  <c r="H24" i="1"/>
  <c r="H23" i="1"/>
  <c r="H22" i="1"/>
  <c r="D21" i="1"/>
  <c r="E15" i="1"/>
  <c r="H18" i="1"/>
  <c r="H17" i="1"/>
  <c r="E6" i="1"/>
  <c r="D7" i="1"/>
  <c r="H9" i="1"/>
  <c r="H8" i="1"/>
  <c r="D31" i="1" l="1"/>
  <c r="F31" i="1"/>
  <c r="H20" i="1"/>
  <c r="F16" i="1" s="1"/>
  <c r="D16" i="1" s="1"/>
  <c r="H12" i="1"/>
  <c r="F8" i="1" s="1"/>
  <c r="B6" i="5"/>
  <c r="H38" i="2"/>
  <c r="C22" i="5"/>
  <c r="C14" i="5"/>
  <c r="C12" i="5"/>
  <c r="C10" i="5"/>
  <c r="C8" i="5"/>
  <c r="C6" i="5"/>
  <c r="H18" i="2"/>
  <c r="E115" i="2"/>
  <c r="E114" i="2" s="1"/>
  <c r="H126" i="2"/>
  <c r="H123" i="2"/>
  <c r="D116" i="2"/>
  <c r="H110" i="2"/>
  <c r="H106" i="2"/>
  <c r="H127" i="2" l="1"/>
  <c r="D8" i="1"/>
  <c r="F6" i="1"/>
  <c r="H108" i="2"/>
  <c r="F105" i="2" s="1"/>
  <c r="D105" i="2" s="1"/>
  <c r="H100" i="2"/>
  <c r="H103" i="2" s="1"/>
  <c r="F99" i="2" s="1"/>
  <c r="D96" i="2"/>
  <c r="E78" i="2"/>
  <c r="E24" i="2" s="1"/>
  <c r="E151" i="2" s="1"/>
  <c r="H85" i="2"/>
  <c r="H86" i="2" s="1"/>
  <c r="H81" i="2"/>
  <c r="H82" i="2" s="1"/>
  <c r="D79" i="2"/>
  <c r="H71" i="2"/>
  <c r="H69" i="2"/>
  <c r="H75" i="2"/>
  <c r="H65" i="2"/>
  <c r="H62" i="2"/>
  <c r="H60" i="2"/>
  <c r="H58" i="2"/>
  <c r="D32" i="2"/>
  <c r="D45" i="2"/>
  <c r="D44" i="2"/>
  <c r="D43" i="2"/>
  <c r="D33" i="2"/>
  <c r="D34" i="2"/>
  <c r="D35" i="2"/>
  <c r="H29" i="2"/>
  <c r="D26" i="2"/>
  <c r="H41" i="2"/>
  <c r="H40" i="2"/>
  <c r="H37" i="2"/>
  <c r="H28" i="2"/>
  <c r="H13" i="2"/>
  <c r="H11" i="2"/>
  <c r="H10" i="2"/>
  <c r="H9" i="2"/>
  <c r="H8" i="2"/>
  <c r="H19" i="2"/>
  <c r="H111" i="2"/>
  <c r="F109" i="2" s="1"/>
  <c r="D109" i="2" s="1"/>
  <c r="H94" i="2"/>
  <c r="H30" i="2"/>
  <c r="H39" i="2"/>
  <c r="H76" i="2"/>
  <c r="H59" i="2"/>
  <c r="H51" i="2"/>
  <c r="H55" i="2" s="1"/>
  <c r="H12" i="2"/>
  <c r="H20" i="2"/>
  <c r="H14" i="2"/>
  <c r="D51" i="1"/>
  <c r="H29" i="1"/>
  <c r="F28" i="1" s="1"/>
  <c r="D28" i="1" s="1"/>
  <c r="A6" i="5"/>
  <c r="F98" i="2" l="1"/>
  <c r="D98" i="2" s="1"/>
  <c r="D99" i="2"/>
  <c r="F80" i="2"/>
  <c r="D80" i="2" s="1"/>
  <c r="H15" i="2"/>
  <c r="F7" i="2" s="1"/>
  <c r="H72" i="2"/>
  <c r="H77" i="2"/>
  <c r="H66" i="2"/>
  <c r="H42" i="2"/>
  <c r="F36" i="2" s="1"/>
  <c r="D36" i="2" s="1"/>
  <c r="H21" i="2"/>
  <c r="F17" i="2" s="1"/>
  <c r="D17" i="2" s="1"/>
  <c r="H31" i="2"/>
  <c r="F27" i="2" s="1"/>
  <c r="F120" i="2"/>
  <c r="H26" i="1"/>
  <c r="F22" i="1" s="1"/>
  <c r="D22" i="1" s="1"/>
  <c r="F25" i="2" l="1"/>
  <c r="D25" i="2" s="1"/>
  <c r="F8" i="5" s="1"/>
  <c r="F78" i="2"/>
  <c r="D78" i="2" s="1"/>
  <c r="F12" i="5" s="1"/>
  <c r="F47" i="2"/>
  <c r="F46" i="2" s="1"/>
  <c r="F115" i="2"/>
  <c r="F114" i="2" s="1"/>
  <c r="D114" i="2" s="1"/>
  <c r="D120" i="2"/>
  <c r="D115" i="2" s="1"/>
  <c r="D27" i="2"/>
  <c r="G14" i="5"/>
  <c r="G12" i="5"/>
  <c r="G22" i="5"/>
  <c r="D47" i="2" l="1"/>
  <c r="D46" i="2" s="1"/>
  <c r="F10" i="5" s="1"/>
  <c r="G6" i="5"/>
  <c r="F135" i="2" l="1"/>
  <c r="F134" i="2" s="1"/>
  <c r="F133" i="2"/>
  <c r="A10" i="5" l="1"/>
  <c r="A8" i="5"/>
  <c r="D20" i="5"/>
  <c r="C16" i="5"/>
  <c r="D16" i="5" s="1"/>
  <c r="D18" i="5" l="1"/>
  <c r="G18" i="5" l="1"/>
  <c r="G16" i="5"/>
  <c r="G20" i="5" l="1"/>
  <c r="F72" i="1" l="1"/>
  <c r="G10" i="5" l="1"/>
  <c r="F14" i="1"/>
  <c r="D148" i="2"/>
  <c r="D147" i="2" s="1"/>
  <c r="D145" i="2"/>
  <c r="D143" i="2"/>
  <c r="D141" i="2"/>
  <c r="D139" i="2"/>
  <c r="D137" i="2"/>
  <c r="F137" i="2" s="1"/>
  <c r="D134" i="2"/>
  <c r="D131" i="2"/>
  <c r="F131" i="2" s="1"/>
  <c r="D112" i="2"/>
  <c r="D22" i="2"/>
  <c r="D136" i="2" l="1"/>
  <c r="D130" i="2"/>
  <c r="F22" i="5" l="1"/>
  <c r="H22" i="5" s="1"/>
  <c r="F136" i="2"/>
  <c r="F130" i="2"/>
  <c r="F20" i="5"/>
  <c r="H20" i="5" s="1"/>
  <c r="G8" i="5" l="1"/>
  <c r="H12" i="5"/>
  <c r="D95" i="2"/>
  <c r="F14" i="5" s="1"/>
  <c r="F18" i="5" l="1"/>
  <c r="H18" i="5" s="1"/>
  <c r="H8" i="5"/>
  <c r="G24" i="5"/>
  <c r="F95" i="2"/>
  <c r="F24" i="2" s="1"/>
  <c r="H14" i="5"/>
  <c r="D24" i="2"/>
  <c r="H10" i="5"/>
  <c r="G9" i="5" l="1"/>
  <c r="G15" i="5"/>
  <c r="G23" i="5"/>
  <c r="G13" i="5"/>
  <c r="G7" i="5"/>
  <c r="G19" i="5"/>
  <c r="G17" i="5"/>
  <c r="G21" i="5"/>
  <c r="G11" i="5"/>
  <c r="D34" i="1"/>
  <c r="G25" i="5" l="1"/>
  <c r="C24" i="5"/>
  <c r="J24" i="5" s="1"/>
  <c r="E152" i="2" l="1"/>
  <c r="E153" i="2"/>
  <c r="C13" i="5"/>
  <c r="C21" i="5"/>
  <c r="C15" i="5"/>
  <c r="C19" i="5"/>
  <c r="C23" i="5"/>
  <c r="C9" i="5"/>
  <c r="C17" i="5"/>
  <c r="C7" i="5"/>
  <c r="C11" i="5"/>
  <c r="D15" i="1" l="1"/>
  <c r="B10" i="5" s="1"/>
  <c r="F15" i="1"/>
  <c r="C25" i="5"/>
  <c r="B8" i="5"/>
  <c r="D70" i="1"/>
  <c r="B22" i="5" s="1"/>
  <c r="D22" i="5" s="1"/>
  <c r="D67" i="1"/>
  <c r="F67" i="1" s="1"/>
  <c r="D65" i="1"/>
  <c r="F65" i="1" s="1"/>
  <c r="D63" i="1"/>
  <c r="F63" i="1" s="1"/>
  <c r="D59" i="1"/>
  <c r="D56" i="1"/>
  <c r="F56" i="1" s="1"/>
  <c r="D54" i="1"/>
  <c r="F54" i="1" s="1"/>
  <c r="D50" i="1"/>
  <c r="F50" i="1" s="1"/>
  <c r="D48" i="1"/>
  <c r="F48" i="1" s="1"/>
  <c r="D46" i="1"/>
  <c r="F46" i="1" s="1"/>
  <c r="D41" i="1"/>
  <c r="F41" i="1" s="1"/>
  <c r="D39" i="1"/>
  <c r="F39" i="1" s="1"/>
  <c r="D13" i="1"/>
  <c r="F13" i="1" s="1"/>
  <c r="D6" i="5" l="1"/>
  <c r="D10" i="5"/>
  <c r="D69" i="1"/>
  <c r="F69" i="1" s="1"/>
  <c r="F70" i="1"/>
  <c r="D58" i="1"/>
  <c r="F58" i="1" s="1"/>
  <c r="F59" i="1"/>
  <c r="D53" i="1"/>
  <c r="F53" i="1" s="1"/>
  <c r="D62" i="1"/>
  <c r="F62" i="1" s="1"/>
  <c r="D6" i="1"/>
  <c r="D8" i="5" l="1"/>
  <c r="D30" i="1"/>
  <c r="B12" i="5" s="1"/>
  <c r="D5" i="1"/>
  <c r="F30" i="1" l="1"/>
  <c r="F5" i="1"/>
  <c r="D12" i="5" l="1"/>
  <c r="D16" i="2" l="1"/>
  <c r="F16" i="2" l="1"/>
  <c r="D7" i="2"/>
  <c r="D6" i="2" s="1"/>
  <c r="D5" i="2" s="1"/>
  <c r="F6" i="2" l="1"/>
  <c r="F6" i="5"/>
  <c r="F5" i="2" l="1"/>
  <c r="H6" i="5" l="1"/>
  <c r="D104" i="2" l="1"/>
  <c r="F104" i="2" s="1"/>
  <c r="D97" i="2" l="1"/>
  <c r="F16" i="5" s="1"/>
  <c r="D151" i="2" l="1"/>
  <c r="F97" i="2"/>
  <c r="F151" i="2" s="1"/>
  <c r="H16" i="5" l="1"/>
  <c r="F24" i="5"/>
  <c r="F17" i="5" s="1"/>
  <c r="H24" i="5" l="1"/>
  <c r="H17" i="5" s="1"/>
  <c r="F19" i="5"/>
  <c r="F9" i="5"/>
  <c r="F11" i="5"/>
  <c r="F15" i="5"/>
  <c r="F13" i="5"/>
  <c r="F21" i="5"/>
  <c r="F7" i="5"/>
  <c r="F23" i="5"/>
  <c r="F25" i="5" l="1"/>
  <c r="H23" i="5"/>
  <c r="H19" i="5"/>
  <c r="H7" i="5"/>
  <c r="H11" i="5"/>
  <c r="H13" i="5"/>
  <c r="H15" i="5"/>
  <c r="H9" i="5"/>
  <c r="H21" i="5"/>
  <c r="H25" i="5" l="1"/>
  <c r="D44" i="1"/>
  <c r="F44" i="1" l="1"/>
  <c r="D43" i="1"/>
  <c r="D73" i="1" l="1"/>
  <c r="F43" i="1"/>
  <c r="B14" i="5"/>
  <c r="D152" i="2" l="1"/>
  <c r="D153" i="2"/>
  <c r="F73" i="1"/>
  <c r="B24" i="5"/>
  <c r="D14" i="5"/>
  <c r="B17" i="5" l="1"/>
  <c r="B13" i="5"/>
  <c r="B21" i="5"/>
  <c r="B11" i="5"/>
  <c r="B23" i="5"/>
  <c r="B7" i="5"/>
  <c r="B9" i="5"/>
  <c r="B19" i="5"/>
  <c r="D24" i="5"/>
  <c r="D15" i="5" s="1"/>
  <c r="F152" i="2"/>
  <c r="F153" i="2"/>
  <c r="B15" i="5"/>
  <c r="D13" i="5" l="1"/>
  <c r="D9" i="5"/>
  <c r="D11" i="5"/>
  <c r="D23" i="5"/>
  <c r="D21" i="5"/>
  <c r="D7" i="5"/>
  <c r="D17" i="5"/>
  <c r="D19" i="5"/>
  <c r="B25" i="5"/>
  <c r="D25" i="5" l="1"/>
</calcChain>
</file>

<file path=xl/sharedStrings.xml><?xml version="1.0" encoding="utf-8"?>
<sst xmlns="http://schemas.openxmlformats.org/spreadsheetml/2006/main" count="374" uniqueCount="241">
  <si>
    <t>과 목</t>
    <phoneticPr fontId="2" type="noConversion"/>
  </si>
  <si>
    <t>관</t>
    <phoneticPr fontId="2" type="noConversion"/>
  </si>
  <si>
    <t>항</t>
    <phoneticPr fontId="2" type="noConversion"/>
  </si>
  <si>
    <t>목</t>
    <phoneticPr fontId="2" type="noConversion"/>
  </si>
  <si>
    <t>학부모부담수입</t>
    <phoneticPr fontId="2" type="noConversion"/>
  </si>
  <si>
    <t>등록금</t>
    <phoneticPr fontId="2" type="noConversion"/>
  </si>
  <si>
    <t>입학금</t>
    <phoneticPr fontId="2" type="noConversion"/>
  </si>
  <si>
    <t>수업료</t>
    <phoneticPr fontId="2" type="noConversion"/>
  </si>
  <si>
    <t>학교운영지원비</t>
    <phoneticPr fontId="2" type="noConversion"/>
  </si>
  <si>
    <t>수익자부담경비</t>
    <phoneticPr fontId="2" type="noConversion"/>
  </si>
  <si>
    <t>학교급식비</t>
    <phoneticPr fontId="2" type="noConversion"/>
  </si>
  <si>
    <t>현장학습비</t>
  </si>
  <si>
    <t>지원금수입</t>
    <phoneticPr fontId="2" type="noConversion"/>
  </si>
  <si>
    <t>교육부지원금</t>
    <phoneticPr fontId="2" type="noConversion"/>
  </si>
  <si>
    <t>현지채용교직원인건비</t>
    <phoneticPr fontId="2" type="noConversion"/>
  </si>
  <si>
    <t>인건비</t>
    <phoneticPr fontId="2" type="noConversion"/>
  </si>
  <si>
    <t>운영비</t>
    <phoneticPr fontId="2" type="noConversion"/>
  </si>
  <si>
    <t>임차료</t>
    <phoneticPr fontId="2" type="noConversion"/>
  </si>
  <si>
    <t>저소득층자녀지원</t>
    <phoneticPr fontId="2" type="noConversion"/>
  </si>
  <si>
    <t>방과후학교지원</t>
    <phoneticPr fontId="2" type="noConversion"/>
  </si>
  <si>
    <t>시설(대수선)비</t>
    <phoneticPr fontId="2" type="noConversion"/>
  </si>
  <si>
    <t>기타교육부지원금</t>
    <phoneticPr fontId="2" type="noConversion"/>
  </si>
  <si>
    <t>기타국고지원금</t>
    <phoneticPr fontId="2" type="noConversion"/>
  </si>
  <si>
    <t>기타지원금</t>
    <phoneticPr fontId="2" type="noConversion"/>
  </si>
  <si>
    <t>행정활동수입</t>
    <phoneticPr fontId="2" type="noConversion"/>
  </si>
  <si>
    <t>사용료및수수료수입</t>
    <phoneticPr fontId="2" type="noConversion"/>
  </si>
  <si>
    <t>사용료 및 수수료</t>
    <phoneticPr fontId="2" type="noConversion"/>
  </si>
  <si>
    <t>자산매각수입</t>
    <phoneticPr fontId="2" type="noConversion"/>
  </si>
  <si>
    <t>보증금회수</t>
    <phoneticPr fontId="2" type="noConversion"/>
  </si>
  <si>
    <t>임차보증금 회수</t>
    <phoneticPr fontId="2" type="noConversion"/>
  </si>
  <si>
    <t>기타자체수입</t>
    <phoneticPr fontId="2" type="noConversion"/>
  </si>
  <si>
    <t>이자수입</t>
    <phoneticPr fontId="2" type="noConversion"/>
  </si>
  <si>
    <t>잡수입</t>
    <phoneticPr fontId="2" type="noConversion"/>
  </si>
  <si>
    <t>전입금수입</t>
    <phoneticPr fontId="2" type="noConversion"/>
  </si>
  <si>
    <t>학교발전기금 전입금</t>
    <phoneticPr fontId="2" type="noConversion"/>
  </si>
  <si>
    <t>법인전입금</t>
    <phoneticPr fontId="2" type="noConversion"/>
  </si>
  <si>
    <t>차입금</t>
    <phoneticPr fontId="2" type="noConversion"/>
  </si>
  <si>
    <t>일시차입금 차입</t>
    <phoneticPr fontId="2" type="noConversion"/>
  </si>
  <si>
    <t>장기차입금 차입</t>
    <phoneticPr fontId="2" type="noConversion"/>
  </si>
  <si>
    <t>기타수입</t>
    <phoneticPr fontId="2" type="noConversion"/>
  </si>
  <si>
    <t>지난년도수입</t>
    <phoneticPr fontId="2" type="noConversion"/>
  </si>
  <si>
    <t>적립금</t>
    <phoneticPr fontId="2" type="noConversion"/>
  </si>
  <si>
    <t>적립금전입액</t>
    <phoneticPr fontId="2" type="noConversion"/>
  </si>
  <si>
    <t>환차익</t>
    <phoneticPr fontId="2" type="noConversion"/>
  </si>
  <si>
    <t>이월금</t>
    <phoneticPr fontId="2" type="noConversion"/>
  </si>
  <si>
    <t>전년도이월금</t>
    <phoneticPr fontId="2" type="noConversion"/>
  </si>
  <si>
    <t>전년도이월사업비</t>
    <phoneticPr fontId="2" type="noConversion"/>
  </si>
  <si>
    <t>순세계잉여금</t>
    <phoneticPr fontId="2" type="noConversion"/>
  </si>
  <si>
    <t>세입합계</t>
    <phoneticPr fontId="2" type="noConversion"/>
  </si>
  <si>
    <t>교원인건비</t>
    <phoneticPr fontId="2" type="noConversion"/>
  </si>
  <si>
    <t>직원및계약교직원인건비</t>
    <phoneticPr fontId="2" type="noConversion"/>
  </si>
  <si>
    <t>직원및계약교직원인건비</t>
  </si>
  <si>
    <t>퇴직적립금</t>
    <phoneticPr fontId="2" type="noConversion"/>
  </si>
  <si>
    <t>학교운영비</t>
    <phoneticPr fontId="2" type="noConversion"/>
  </si>
  <si>
    <t>일반운영비</t>
    <phoneticPr fontId="2" type="noConversion"/>
  </si>
  <si>
    <t>지급수수료</t>
    <phoneticPr fontId="2" type="noConversion"/>
  </si>
  <si>
    <t>학생복지비</t>
    <phoneticPr fontId="2" type="noConversion"/>
  </si>
  <si>
    <t>업무추진비</t>
    <phoneticPr fontId="2" type="noConversion"/>
  </si>
  <si>
    <t>소계</t>
    <phoneticPr fontId="2" type="noConversion"/>
  </si>
  <si>
    <t>&lt;1. 정규직원&gt;</t>
    <phoneticPr fontId="2" type="noConversion"/>
  </si>
  <si>
    <t>비교증감</t>
    <phoneticPr fontId="2" type="noConversion"/>
  </si>
  <si>
    <t>산출기초(SGD)</t>
    <phoneticPr fontId="2" type="noConversion"/>
  </si>
  <si>
    <t>[사무국]</t>
    <phoneticPr fontId="2" type="noConversion"/>
  </si>
  <si>
    <t>&lt;1. 정규교원&gt;</t>
    <phoneticPr fontId="2" type="noConversion"/>
  </si>
  <si>
    <t>소계</t>
    <phoneticPr fontId="2" type="noConversion"/>
  </si>
  <si>
    <t>[사무국]</t>
    <phoneticPr fontId="2" type="noConversion"/>
  </si>
  <si>
    <t>여비</t>
    <phoneticPr fontId="2" type="noConversion"/>
  </si>
  <si>
    <t>[초등]</t>
    <phoneticPr fontId="2" type="noConversion"/>
  </si>
  <si>
    <t>교수학습활동비</t>
    <phoneticPr fontId="2" type="noConversion"/>
  </si>
  <si>
    <t>[유치원]</t>
    <phoneticPr fontId="2" type="noConversion"/>
  </si>
  <si>
    <t>[중등]</t>
    <phoneticPr fontId="2" type="noConversion"/>
  </si>
  <si>
    <t>02. 각종 대회 및 행사</t>
    <phoneticPr fontId="2" type="noConversion"/>
  </si>
  <si>
    <t>05. 학급운영비</t>
    <phoneticPr fontId="2" type="noConversion"/>
  </si>
  <si>
    <t>06. 기타 교수학습활동</t>
    <phoneticPr fontId="2" type="noConversion"/>
  </si>
  <si>
    <t>학생복지비</t>
    <phoneticPr fontId="2" type="noConversion"/>
  </si>
  <si>
    <t>장학금</t>
    <phoneticPr fontId="2" type="noConversion"/>
  </si>
  <si>
    <t>02. 저소득층 학비 지원</t>
    <phoneticPr fontId="2" type="noConversion"/>
  </si>
  <si>
    <t>03. 학생건강 및 안전관리</t>
    <phoneticPr fontId="2" type="noConversion"/>
  </si>
  <si>
    <t>업무추진비</t>
    <phoneticPr fontId="2" type="noConversion"/>
  </si>
  <si>
    <t>시설비</t>
    <phoneticPr fontId="2" type="noConversion"/>
  </si>
  <si>
    <t>자산취득비</t>
    <phoneticPr fontId="2" type="noConversion"/>
  </si>
  <si>
    <t>시설(대수선)비</t>
    <phoneticPr fontId="2" type="noConversion"/>
  </si>
  <si>
    <t>대수선비</t>
    <phoneticPr fontId="2" type="noConversion"/>
  </si>
  <si>
    <t>임차보증금</t>
    <phoneticPr fontId="2" type="noConversion"/>
  </si>
  <si>
    <t>임차보증금 지급</t>
    <phoneticPr fontId="2" type="noConversion"/>
  </si>
  <si>
    <t>수익자부담경비</t>
    <phoneticPr fontId="2" type="noConversion"/>
  </si>
  <si>
    <t>학교급식비</t>
    <phoneticPr fontId="2" type="noConversion"/>
  </si>
  <si>
    <t>소계</t>
    <phoneticPr fontId="2" type="noConversion"/>
  </si>
  <si>
    <t>[유치원]</t>
    <phoneticPr fontId="2" type="noConversion"/>
  </si>
  <si>
    <t>[초등]</t>
    <phoneticPr fontId="2" type="noConversion"/>
  </si>
  <si>
    <t>[중등]</t>
    <phoneticPr fontId="2" type="noConversion"/>
  </si>
  <si>
    <t>차입금</t>
    <phoneticPr fontId="2" type="noConversion"/>
  </si>
  <si>
    <t>일시차입금 상환</t>
    <phoneticPr fontId="2" type="noConversion"/>
  </si>
  <si>
    <t>장기차입금 상환</t>
    <phoneticPr fontId="2" type="noConversion"/>
  </si>
  <si>
    <t>이자비용</t>
    <phoneticPr fontId="2" type="noConversion"/>
  </si>
  <si>
    <t>기타지출</t>
    <phoneticPr fontId="2" type="noConversion"/>
  </si>
  <si>
    <t>예비비</t>
    <phoneticPr fontId="2" type="noConversion"/>
  </si>
  <si>
    <t>적립금</t>
    <phoneticPr fontId="2" type="noConversion"/>
  </si>
  <si>
    <t>적립금전출액</t>
    <phoneticPr fontId="2" type="noConversion"/>
  </si>
  <si>
    <t>반환금</t>
    <phoneticPr fontId="2" type="noConversion"/>
  </si>
  <si>
    <t>잡지출</t>
    <phoneticPr fontId="2" type="noConversion"/>
  </si>
  <si>
    <t>환차손</t>
    <phoneticPr fontId="2" type="noConversion"/>
  </si>
  <si>
    <t>이월금</t>
    <phoneticPr fontId="2" type="noConversion"/>
  </si>
  <si>
    <t>다음연도이월금</t>
    <phoneticPr fontId="2" type="noConversion"/>
  </si>
  <si>
    <t>⑩ 이월사업비</t>
    <phoneticPr fontId="2" type="noConversion"/>
  </si>
  <si>
    <t>⑪ 순세계잉여금</t>
    <phoneticPr fontId="2" type="noConversion"/>
  </si>
  <si>
    <t>검증</t>
    <phoneticPr fontId="2" type="noConversion"/>
  </si>
  <si>
    <t>-</t>
    <phoneticPr fontId="2" type="noConversion"/>
  </si>
  <si>
    <t>예 산 총 칙</t>
    <phoneticPr fontId="2" type="noConversion"/>
  </si>
  <si>
    <t>제1조</t>
    <phoneticPr fontId="2" type="noConversion"/>
  </si>
  <si>
    <t>제2조</t>
    <phoneticPr fontId="2" type="noConversion"/>
  </si>
  <si>
    <t>제3조</t>
    <phoneticPr fontId="2" type="noConversion"/>
  </si>
  <si>
    <t>제4조</t>
    <phoneticPr fontId="2" type="noConversion"/>
  </si>
  <si>
    <t>다음의 경비에 부족이 생겼을 때에는 비목 상호간 또는 타 비목으로부터 이용할 수 있다.</t>
    <phoneticPr fontId="2" type="noConversion"/>
  </si>
  <si>
    <t>1. 교직원인건비</t>
    <phoneticPr fontId="2" type="noConversion"/>
  </si>
  <si>
    <t>2. 비정규직보수, 강사료</t>
    <phoneticPr fontId="2" type="noConversion"/>
  </si>
  <si>
    <t>3. 세금, 공과금, 반환금</t>
    <phoneticPr fontId="2" type="noConversion"/>
  </si>
  <si>
    <t>제5조</t>
    <phoneticPr fontId="16" type="noConversion"/>
  </si>
  <si>
    <t>세    입</t>
    <phoneticPr fontId="16" type="noConversion"/>
  </si>
  <si>
    <t>세    출</t>
    <phoneticPr fontId="16" type="noConversion"/>
  </si>
  <si>
    <t>과목</t>
    <phoneticPr fontId="16" type="noConversion"/>
  </si>
  <si>
    <t>증감액</t>
    <phoneticPr fontId="16" type="noConversion"/>
  </si>
  <si>
    <t>인건비</t>
    <phoneticPr fontId="16" type="noConversion"/>
  </si>
  <si>
    <t>일반운영비</t>
    <phoneticPr fontId="16" type="noConversion"/>
  </si>
  <si>
    <t>교수학습활동비</t>
    <phoneticPr fontId="16" type="noConversion"/>
  </si>
  <si>
    <t>시설비</t>
    <phoneticPr fontId="16" type="noConversion"/>
  </si>
  <si>
    <t>예비비및기타</t>
    <phoneticPr fontId="2" type="noConversion"/>
  </si>
  <si>
    <t xml:space="preserve"> </t>
    <phoneticPr fontId="2" type="noConversion"/>
  </si>
  <si>
    <t>계</t>
    <phoneticPr fontId="16" type="noConversion"/>
  </si>
  <si>
    <t>2019학년도</t>
    <phoneticPr fontId="2" type="noConversion"/>
  </si>
  <si>
    <t>학교법인 싱가포르한국국제학교</t>
    <phoneticPr fontId="2" type="noConversion"/>
  </si>
  <si>
    <t>싱 가 포 르 한 국 국 제 학 교</t>
    <phoneticPr fontId="2" type="noConversion"/>
  </si>
  <si>
    <t>기타수입</t>
    <phoneticPr fontId="2" type="noConversion"/>
  </si>
  <si>
    <t>전입금수입</t>
    <phoneticPr fontId="2" type="noConversion"/>
  </si>
  <si>
    <t>행정활동수입</t>
    <phoneticPr fontId="16" type="noConversion"/>
  </si>
  <si>
    <t>세출합계</t>
    <phoneticPr fontId="2" type="noConversion"/>
  </si>
  <si>
    <t>국가, 단체, 개인등으로부터의 전입금, 지원경비 및 수익자부담경비는 추가경정예산의 성립 이전에 사용할 수 있으며, 이는 차기 추가경정 예산에 반영한다.</t>
    <phoneticPr fontId="2" type="noConversion"/>
  </si>
  <si>
    <t>동일 예산 관내의 항간 또는 목간에 예산의 과부족이 있는 경우에는 사학기관재무회계규칙 제21조의 제3항의 규정에 의하여 상호 전용할 수 있다.</t>
    <phoneticPr fontId="2" type="noConversion"/>
  </si>
  <si>
    <t>회계연도중 목적이 지정되어 교부받은 교부금 및 기부금은 학교운영위원회 심의와 
이사회 의결을 받은 것으로 간주한다.</t>
    <phoneticPr fontId="16" type="noConversion"/>
  </si>
  <si>
    <t>(단위: SGD)</t>
    <phoneticPr fontId="16" type="noConversion"/>
  </si>
  <si>
    <t>04. 학습준비물 및 교재.교구 구입</t>
    <phoneticPr fontId="2" type="noConversion"/>
  </si>
  <si>
    <t>-</t>
  </si>
  <si>
    <t>경정 예산액</t>
    <phoneticPr fontId="2" type="noConversion"/>
  </si>
  <si>
    <t>기정 예산액</t>
    <phoneticPr fontId="2" type="noConversion"/>
  </si>
  <si>
    <t>(A)</t>
    <phoneticPr fontId="2" type="noConversion"/>
  </si>
  <si>
    <t>(B)</t>
    <phoneticPr fontId="2" type="noConversion"/>
  </si>
  <si>
    <t>(A-B)</t>
    <phoneticPr fontId="2" type="noConversion"/>
  </si>
  <si>
    <t>이자수입 20,000불 x 1회 =</t>
    <phoneticPr fontId="2" type="noConversion"/>
  </si>
  <si>
    <t>교재판매 대금 20불 x 60권 =</t>
    <phoneticPr fontId="2" type="noConversion"/>
  </si>
  <si>
    <t>산출기초(단위 : SGD)</t>
    <phoneticPr fontId="2" type="noConversion"/>
  </si>
  <si>
    <t>2019학년도 싱가포르한국국제학교 제1차 추가경정 세출예산서</t>
    <phoneticPr fontId="2" type="noConversion"/>
  </si>
  <si>
    <t>2019학년도 학교회계 제1차 추가경정 세입·세출예산서 총괄표</t>
    <phoneticPr fontId="16" type="noConversion"/>
  </si>
  <si>
    <t>교수학습활동비</t>
    <phoneticPr fontId="2" type="noConversion"/>
  </si>
  <si>
    <t>기타학생복지비</t>
    <phoneticPr fontId="2" type="noConversion"/>
  </si>
  <si>
    <t>업무추진비</t>
    <phoneticPr fontId="2" type="noConversion"/>
  </si>
  <si>
    <t>직책수당_영어코디네이터 (경정) 0불 - (기정) 8,400불 =</t>
    <phoneticPr fontId="2" type="noConversion"/>
  </si>
  <si>
    <t>담임수당_초등학교 (경정) 52,800불 - (기정) 57,600불 =</t>
    <phoneticPr fontId="2" type="noConversion"/>
  </si>
  <si>
    <t xml:space="preserve">근속수당 (경정) 84,000불 - (기정) 120,000불 = </t>
    <phoneticPr fontId="2" type="noConversion"/>
  </si>
  <si>
    <t xml:space="preserve">국외_식비 (경정) 3,000불 - (기정) 1,500불 =  </t>
    <phoneticPr fontId="2" type="noConversion"/>
  </si>
  <si>
    <t>국외_수학여행 경비_고등학교 (경정) 15,000불 - (기정) 12,000불 =</t>
    <phoneticPr fontId="2" type="noConversion"/>
  </si>
  <si>
    <t>국내_식비 (경정) 24,000불 - (기정) 12,000불 =</t>
    <phoneticPr fontId="2" type="noConversion"/>
  </si>
  <si>
    <t>시설장비유지비</t>
    <phoneticPr fontId="2" type="noConversion"/>
  </si>
  <si>
    <t>임차료</t>
    <phoneticPr fontId="2" type="noConversion"/>
  </si>
  <si>
    <t>전기·수도요금</t>
    <phoneticPr fontId="2" type="noConversion"/>
  </si>
  <si>
    <t>각종 세금·공과금</t>
    <phoneticPr fontId="2" type="noConversion"/>
  </si>
  <si>
    <t>연료비</t>
    <phoneticPr fontId="2" type="noConversion"/>
  </si>
  <si>
    <t>소모품비</t>
    <phoneticPr fontId="2" type="noConversion"/>
  </si>
  <si>
    <t>복리후생비</t>
    <phoneticPr fontId="2" type="noConversion"/>
  </si>
  <si>
    <t>기타일반수용비</t>
    <phoneticPr fontId="2" type="noConversion"/>
  </si>
  <si>
    <t xml:space="preserve">과학의 날 준비물품 구입 (경정) 0불 - (기정) 1,280불 = </t>
    <phoneticPr fontId="2" type="noConversion"/>
  </si>
  <si>
    <t xml:space="preserve">학습준비물 구입 (경정) 40,640불 - (기정) 25,400불 = </t>
    <phoneticPr fontId="2" type="noConversion"/>
  </si>
  <si>
    <t>학습준비물 구입 (경정) 21,600불 - (기정) 13,500불 =</t>
    <phoneticPr fontId="2" type="noConversion"/>
  </si>
  <si>
    <t>일반학급 (경정) 4,000불 - (기정) 3,000불 =</t>
    <phoneticPr fontId="2" type="noConversion"/>
  </si>
  <si>
    <t>일반학급 (경정) 11,000불 - (기정) 12,000불 =</t>
    <phoneticPr fontId="2" type="noConversion"/>
  </si>
  <si>
    <t xml:space="preserve">모래놀이함 (경정) 0불 - (기정) 2,000불 = </t>
    <phoneticPr fontId="2" type="noConversion"/>
  </si>
  <si>
    <t>소규모 시설보수 (경정) 150,000불 - (기정) 200,000불 =</t>
    <phoneticPr fontId="2" type="noConversion"/>
  </si>
  <si>
    <t xml:space="preserve">급식재료비 (경정) 246,380불 - (기정) 241,200불 = </t>
    <phoneticPr fontId="2" type="noConversion"/>
  </si>
  <si>
    <t xml:space="preserve">현장체험학습_초등 (경정) 40,160불 - (기정) 40,640불 = </t>
    <phoneticPr fontId="2" type="noConversion"/>
  </si>
  <si>
    <t xml:space="preserve">고등학교 수학여행 (경정) 147,500불 - (기정) 130,500불 = </t>
    <phoneticPr fontId="2" type="noConversion"/>
  </si>
  <si>
    <t>방과후학교교육활동비</t>
    <phoneticPr fontId="2" type="noConversion"/>
  </si>
  <si>
    <t>방과후학교교육활동비</t>
    <phoneticPr fontId="2" type="noConversion"/>
  </si>
  <si>
    <t>학생수련활동비</t>
    <phoneticPr fontId="2" type="noConversion"/>
  </si>
  <si>
    <t>학생수련활동비</t>
    <phoneticPr fontId="2" type="noConversion"/>
  </si>
  <si>
    <t>기타수익자부담경비</t>
    <phoneticPr fontId="2" type="noConversion"/>
  </si>
  <si>
    <t>기본급 (경정) 840,000불 - (기정) 792,000불 =</t>
    <phoneticPr fontId="2" type="noConversion"/>
  </si>
  <si>
    <t>2019 기정
예산액</t>
    <phoneticPr fontId="16" type="noConversion"/>
  </si>
  <si>
    <t>2019 경정
예산액</t>
    <phoneticPr fontId="16" type="noConversion"/>
  </si>
  <si>
    <t xml:space="preserve">초등학교 (경정) 3,017,653불 - (기정) 2,777,202불 = </t>
    <phoneticPr fontId="2" type="noConversion"/>
  </si>
  <si>
    <t xml:space="preserve">중학교 (경정) 842,340불 - (기정) 825,149불 = </t>
    <phoneticPr fontId="2" type="noConversion"/>
  </si>
  <si>
    <t xml:space="preserve">유치원 (경정) 57,350불 - (기정) 59,200불 = </t>
    <phoneticPr fontId="2" type="noConversion"/>
  </si>
  <si>
    <t xml:space="preserve">초등학교 (경정) 278,610불 - (기정) 281,940불 = </t>
    <phoneticPr fontId="2" type="noConversion"/>
  </si>
  <si>
    <t xml:space="preserve">중학교 (경정) 63,455불 - (기정) 62,160불 = </t>
    <phoneticPr fontId="2" type="noConversion"/>
  </si>
  <si>
    <t xml:space="preserve">고등학교 (경정) 121,730불 - (기정) 112,665불 = </t>
    <phoneticPr fontId="2" type="noConversion"/>
  </si>
  <si>
    <t xml:space="preserve">현장체험학습_유치원 (경정) 4,960불 - (기정) 5,120불 = </t>
    <phoneticPr fontId="2" type="noConversion"/>
  </si>
  <si>
    <t xml:space="preserve">현장체험학습_초등학교 (경정) 40,160불 - (기정) 40,640불 = </t>
    <phoneticPr fontId="2" type="noConversion"/>
  </si>
  <si>
    <t xml:space="preserve">중학교 수학여행 (경정) 98,000불 - (기정) 48,000불 = </t>
    <phoneticPr fontId="2" type="noConversion"/>
  </si>
  <si>
    <t>인건비 (경정) 1,308,432불 - (기정) 1,205,184불 =</t>
    <phoneticPr fontId="2" type="noConversion"/>
  </si>
  <si>
    <t>운영비 (경정) 673,848불 - (기정) 602,296불 =</t>
    <phoneticPr fontId="2" type="noConversion"/>
  </si>
  <si>
    <t>저소득층자녀학비지원 (경정) 170,000불 - (기정) 203,330불 =</t>
    <phoneticPr fontId="2" type="noConversion"/>
  </si>
  <si>
    <t>2019학년도 싱가포르한국국제학교 제1차 추가경정 세입예산서</t>
    <phoneticPr fontId="2" type="noConversion"/>
  </si>
  <si>
    <t>싱가포르한국국제학교회계 세입 ·세출 예산서
(1차 추가경정 예산서)</t>
    <phoneticPr fontId="16" type="noConversion"/>
  </si>
  <si>
    <t>[유치원]</t>
    <phoneticPr fontId="2" type="noConversion"/>
  </si>
  <si>
    <t>[초등]</t>
    <phoneticPr fontId="2" type="noConversion"/>
  </si>
  <si>
    <t>교실 증축비 (경정) 0불 - (기정) 800,000불 =</t>
    <phoneticPr fontId="2" type="noConversion"/>
  </si>
  <si>
    <t>[사무국]</t>
  </si>
  <si>
    <t>체격검사비 (경정) 0불 - (기정) 4,530불 =</t>
    <phoneticPr fontId="2" type="noConversion"/>
  </si>
  <si>
    <t>구강검진비 (경정) 0불 - (기정) 3,200불 =</t>
    <phoneticPr fontId="2" type="noConversion"/>
  </si>
  <si>
    <t xml:space="preserve">과학의 날 준비 (경정) 7,200불 - (기정) 6,600불 = </t>
    <phoneticPr fontId="2" type="noConversion"/>
  </si>
  <si>
    <t>진로탐색 검사지 구입 (기정) 2,200불 - (경정) 1,000불 =</t>
    <phoneticPr fontId="2" type="noConversion"/>
  </si>
  <si>
    <t xml:space="preserve">유치원 (경정) 710,501불 - (기정) 699,041불 = </t>
    <phoneticPr fontId="2" type="noConversion"/>
  </si>
  <si>
    <t>예비비 1,118,071불 =</t>
    <phoneticPr fontId="2" type="noConversion"/>
  </si>
  <si>
    <t>변동 예산액</t>
    <phoneticPr fontId="2" type="noConversion"/>
  </si>
  <si>
    <t>변동 예산액</t>
    <phoneticPr fontId="2" type="noConversion"/>
  </si>
  <si>
    <t>(목적사업비) 저소득층자녀 학비지원 (경정) 170,000불 - (기정) 200,000불 =</t>
    <phoneticPr fontId="2" type="noConversion"/>
  </si>
  <si>
    <t xml:space="preserve">2019학년도 싱가포르한국국제학교 제1차 추가경정 세입,세출예산 총액은  S$12,270,108로 하며, 세입.세출의 명세는 '세입세출예산서'와 같다. </t>
    <phoneticPr fontId="2" type="noConversion"/>
  </si>
  <si>
    <t>기본급 (경정) 2,496,600불 - (기정) 2,257,200불 =</t>
    <phoneticPr fontId="2" type="noConversion"/>
  </si>
  <si>
    <t>담임수당_유치원 (경정) 9,600불 - (기정) 14,400불 =</t>
    <phoneticPr fontId="2" type="noConversion"/>
  </si>
  <si>
    <t xml:space="preserve">자문회계사컨설팅 (경정) 5,500불 - (기정) 10,000불 = </t>
    <phoneticPr fontId="2" type="noConversion"/>
  </si>
  <si>
    <t>청소용역 (경정) 180,000불 - (기정) 192,000불 =</t>
    <phoneticPr fontId="2" type="noConversion"/>
  </si>
  <si>
    <t xml:space="preserve">과학의 날 과학용품 대여 (경정) 0불 - (기정) 2,000불 = </t>
    <phoneticPr fontId="2" type="noConversion"/>
  </si>
  <si>
    <t>학습준비물 구입 (경정) 10,240 - (기정) 6,400불 =</t>
    <phoneticPr fontId="2" type="noConversion"/>
  </si>
  <si>
    <t xml:space="preserve">공개수업 준비물 (경정) 1,600불 - (기정) 1,200불 = </t>
    <phoneticPr fontId="2" type="noConversion"/>
  </si>
  <si>
    <t>학생동아리활동 지원 (경정) 8,000불 - (기정) 2,000불 =</t>
    <phoneticPr fontId="2" type="noConversion"/>
  </si>
  <si>
    <t>자녀학비수당 1,200불 * 36명 * 12월 =</t>
  </si>
  <si>
    <t>아침듀티수당  10불 * 3명 * 20일 * 9월 =</t>
  </si>
  <si>
    <t>자녀학비수당 1,200불  * 4명  * 12월 =</t>
  </si>
  <si>
    <t>아침듀티수당  10불 * 2명 * 20일 * 9월 =</t>
  </si>
  <si>
    <t>전기유지보수용역 1,000불 * 12월 =</t>
  </si>
  <si>
    <t>국외_수학여행 사전 답사_중학교 2,000불 * 2명 * 1회 =</t>
  </si>
  <si>
    <t>국외_수학여행 사전 답사_고등학교 2,500불 * 2명 * 1회 =</t>
  </si>
  <si>
    <t>Flea Market 물품 구입  1,000불 * 1회 =</t>
  </si>
  <si>
    <t xml:space="preserve"> 기타행사 준비 1,000불 * 3회 = </t>
  </si>
  <si>
    <t>연령별 특색활동 자료 구입 16불 * 56명 * 8월 =</t>
  </si>
  <si>
    <t>TOEFL Test 60불 * 83명 + 50불 * 132명 + 시험감독 60불 * 9명 =</t>
  </si>
  <si>
    <t>myOn Program 사용료 18불 * 1.07 * 600명=</t>
  </si>
  <si>
    <t xml:space="preserve">성교육 및 성폭력예방교육 1,500불 * 1회 = </t>
  </si>
  <si>
    <t>물품관리프로그램 구입 4,700불 * 1조 =</t>
  </si>
  <si>
    <t>교실 증축 용역비 200,000불 * 1식 =</t>
  </si>
  <si>
    <t>의약품 및 의료용품 구입 (경정) 12,000불 - (기정) 6,000불 =</t>
    <phoneticPr fontId="2" type="noConversion"/>
  </si>
  <si>
    <t xml:space="preserve">고등학교 (경정) 2,006,571불 - (기정) 1,857,145불 = </t>
    <phoneticPr fontId="2" type="noConversion"/>
  </si>
  <si>
    <t>전년도 순세계잉여금  (경정) 1,465,687 - (기정) 700,000 =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</si>
</sst>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_(* #,##0_);_(* \(#,##0\);_(* &quot;-&quot;_);_(@_)"/>
    <numFmt numFmtId="177" formatCode="_(* #,##0.00_);_(* \(#,##0.00\);_(* &quot;-&quot;_);_(@_)"/>
    <numFmt numFmtId="178" formatCode="#,##0_ "/>
    <numFmt numFmtId="179" formatCode="#,##0.00_ "/>
    <numFmt numFmtId="180" formatCode="\(0.00%\)"/>
    <numFmt numFmtId="181" formatCode="#,##0;\△#,##0"/>
  </numFmts>
  <fonts count="2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0"/>
      <color theme="1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name val="굴림"/>
      <family val="3"/>
      <charset val="129"/>
    </font>
    <font>
      <sz val="11"/>
      <color theme="1"/>
      <name val="굴림"/>
      <family val="3"/>
      <charset val="129"/>
    </font>
    <font>
      <b/>
      <sz val="11"/>
      <color indexed="8"/>
      <name val="굴림"/>
      <family val="3"/>
      <charset val="129"/>
    </font>
    <font>
      <b/>
      <sz val="10"/>
      <name val="굴림"/>
      <family val="3"/>
      <charset val="129"/>
    </font>
    <font>
      <b/>
      <sz val="20"/>
      <name val="맑은 고딕"/>
      <family val="3"/>
      <charset val="129"/>
      <scheme val="minor"/>
    </font>
    <font>
      <sz val="8"/>
      <name val="돋움"/>
      <family val="3"/>
      <charset val="129"/>
    </font>
    <font>
      <sz val="12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22"/>
      <color theme="1"/>
      <name val="맑은 고딕"/>
      <family val="2"/>
      <charset val="129"/>
      <scheme val="minor"/>
    </font>
    <font>
      <sz val="22"/>
      <color theme="1"/>
      <name val="맑은 고딕"/>
      <family val="3"/>
      <charset val="129"/>
      <scheme val="minor"/>
    </font>
    <font>
      <sz val="18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double">
        <color indexed="64"/>
      </top>
      <bottom/>
      <diagonal/>
    </border>
    <border>
      <left style="hair">
        <color auto="1"/>
      </left>
      <right style="hair">
        <color auto="1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auto="1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double">
        <color auto="1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auto="1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auto="1"/>
      </right>
      <top/>
      <bottom style="hair">
        <color auto="1"/>
      </bottom>
      <diagonal/>
    </border>
    <border>
      <left style="double">
        <color indexed="64"/>
      </left>
      <right style="hair">
        <color auto="1"/>
      </right>
      <top style="hair">
        <color auto="1"/>
      </top>
      <bottom/>
      <diagonal/>
    </border>
    <border>
      <left style="double">
        <color indexed="64"/>
      </left>
      <right style="hair">
        <color auto="1"/>
      </right>
      <top/>
      <bottom style="double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 applyNumberFormat="0" applyFont="0" applyFill="0" applyBorder="0" applyAlignment="0" applyProtection="0"/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252">
    <xf numFmtId="0" fontId="0" fillId="0" borderId="0" xfId="0">
      <alignment vertical="center"/>
    </xf>
    <xf numFmtId="0" fontId="1" fillId="0" borderId="0" xfId="2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2" applyAlignment="1">
      <alignment vertical="center" wrapText="1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12" fillId="0" borderId="0" xfId="2" applyFo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horizontal="right" vertical="center"/>
    </xf>
    <xf numFmtId="0" fontId="9" fillId="2" borderId="1" xfId="0" applyFont="1" applyFill="1" applyBorder="1" applyAlignment="1">
      <alignment horizontal="centerContinuous" vertical="center"/>
    </xf>
    <xf numFmtId="0" fontId="9" fillId="2" borderId="1" xfId="0" applyFont="1" applyFill="1" applyBorder="1" applyAlignment="1">
      <alignment horizontal="centerContinuous" vertical="center" shrinkToFi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shrinkToFit="1"/>
    </xf>
    <xf numFmtId="176" fontId="9" fillId="3" borderId="1" xfId="1" applyFont="1" applyFill="1" applyBorder="1" applyAlignment="1">
      <alignment vertical="center" wrapText="1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 shrinkToFit="1"/>
    </xf>
    <xf numFmtId="176" fontId="9" fillId="4" borderId="2" xfId="1" applyFont="1" applyFill="1" applyBorder="1" applyAlignment="1">
      <alignment vertical="center" wrapText="1"/>
    </xf>
    <xf numFmtId="0" fontId="10" fillId="0" borderId="4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left" vertical="center" shrinkToFit="1"/>
    </xf>
    <xf numFmtId="0" fontId="11" fillId="0" borderId="4" xfId="3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shrinkToFit="1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shrinkToFit="1"/>
    </xf>
    <xf numFmtId="176" fontId="9" fillId="4" borderId="1" xfId="1" applyFont="1" applyFill="1" applyBorder="1" applyAlignment="1">
      <alignment vertical="center" wrapText="1"/>
    </xf>
    <xf numFmtId="176" fontId="10" fillId="0" borderId="1" xfId="1" applyFont="1" applyBorder="1" applyAlignment="1">
      <alignment vertical="center" wrapText="1"/>
    </xf>
    <xf numFmtId="0" fontId="9" fillId="4" borderId="3" xfId="0" applyFont="1" applyFill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center" shrinkToFit="1"/>
    </xf>
    <xf numFmtId="0" fontId="13" fillId="6" borderId="5" xfId="0" applyFont="1" applyFill="1" applyBorder="1" applyAlignment="1">
      <alignment horizontal="center" vertical="center" shrinkToFit="1"/>
    </xf>
    <xf numFmtId="3" fontId="13" fillId="6" borderId="6" xfId="0" applyNumberFormat="1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Continuous" vertical="center"/>
    </xf>
    <xf numFmtId="0" fontId="9" fillId="2" borderId="8" xfId="0" applyFont="1" applyFill="1" applyBorder="1" applyAlignment="1">
      <alignment horizontal="centerContinuous" vertical="center"/>
    </xf>
    <xf numFmtId="0" fontId="9" fillId="2" borderId="8" xfId="0" applyFont="1" applyFill="1" applyBorder="1" applyAlignment="1">
      <alignment horizontal="centerContinuous" vertical="center" shrinkToFit="1"/>
    </xf>
    <xf numFmtId="0" fontId="9" fillId="2" borderId="10" xfId="0" applyFont="1" applyFill="1" applyBorder="1" applyAlignment="1">
      <alignment horizontal="centerContinuous" vertical="center"/>
    </xf>
    <xf numFmtId="0" fontId="9" fillId="3" borderId="10" xfId="0" applyFont="1" applyFill="1" applyBorder="1" applyAlignment="1">
      <alignment horizontal="left" vertical="center"/>
    </xf>
    <xf numFmtId="176" fontId="9" fillId="3" borderId="12" xfId="1" applyFont="1" applyFill="1" applyBorder="1" applyAlignment="1">
      <alignment vertical="center"/>
    </xf>
    <xf numFmtId="0" fontId="10" fillId="0" borderId="13" xfId="0" applyFont="1" applyBorder="1" applyAlignment="1">
      <alignment horizontal="left" vertical="center"/>
    </xf>
    <xf numFmtId="177" fontId="10" fillId="0" borderId="12" xfId="1" applyNumberFormat="1" applyFont="1" applyBorder="1" applyAlignment="1">
      <alignment vertical="center"/>
    </xf>
    <xf numFmtId="0" fontId="9" fillId="5" borderId="16" xfId="0" applyFont="1" applyFill="1" applyBorder="1" applyAlignment="1">
      <alignment horizontal="centerContinuous" vertical="center"/>
    </xf>
    <xf numFmtId="0" fontId="9" fillId="5" borderId="17" xfId="0" applyFont="1" applyFill="1" applyBorder="1" applyAlignment="1">
      <alignment horizontal="centerContinuous" vertical="center"/>
    </xf>
    <xf numFmtId="0" fontId="9" fillId="5" borderId="17" xfId="0" applyFont="1" applyFill="1" applyBorder="1" applyAlignment="1">
      <alignment horizontal="centerContinuous" vertical="center" shrinkToFit="1"/>
    </xf>
    <xf numFmtId="176" fontId="9" fillId="5" borderId="17" xfId="0" applyNumberFormat="1" applyFont="1" applyFill="1" applyBorder="1" applyAlignment="1">
      <alignment vertical="center" wrapText="1"/>
    </xf>
    <xf numFmtId="177" fontId="9" fillId="5" borderId="18" xfId="0" applyNumberFormat="1" applyFont="1" applyFill="1" applyBorder="1" applyAlignment="1">
      <alignment vertical="center"/>
    </xf>
    <xf numFmtId="176" fontId="9" fillId="4" borderId="12" xfId="1" applyFont="1" applyFill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1" fillId="0" borderId="2" xfId="3" applyFont="1" applyBorder="1" applyAlignment="1">
      <alignment horizontal="left" vertical="center" shrinkToFit="1"/>
    </xf>
    <xf numFmtId="0" fontId="14" fillId="7" borderId="1" xfId="3" applyFont="1" applyFill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176" fontId="9" fillId="3" borderId="3" xfId="1" applyFont="1" applyFill="1" applyBorder="1" applyAlignment="1">
      <alignment vertical="center" wrapText="1"/>
    </xf>
    <xf numFmtId="176" fontId="10" fillId="0" borderId="2" xfId="1" applyFont="1" applyBorder="1" applyAlignment="1">
      <alignment vertical="center"/>
    </xf>
    <xf numFmtId="0" fontId="0" fillId="0" borderId="21" xfId="0" applyBorder="1">
      <alignment vertical="center"/>
    </xf>
    <xf numFmtId="0" fontId="5" fillId="0" borderId="22" xfId="0" applyFont="1" applyBorder="1" applyAlignment="1"/>
    <xf numFmtId="0" fontId="5" fillId="0" borderId="19" xfId="0" applyFont="1" applyBorder="1" applyAlignment="1"/>
    <xf numFmtId="0" fontId="5" fillId="0" borderId="20" xfId="0" applyFont="1" applyBorder="1" applyAlignment="1"/>
    <xf numFmtId="0" fontId="5" fillId="0" borderId="0" xfId="0" applyFont="1" applyBorder="1" applyAlignment="1"/>
    <xf numFmtId="0" fontId="15" fillId="0" borderId="0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/>
    <xf numFmtId="0" fontId="5" fillId="0" borderId="5" xfId="0" applyFont="1" applyBorder="1" applyAlignment="1"/>
    <xf numFmtId="0" fontId="5" fillId="0" borderId="24" xfId="0" applyFont="1" applyBorder="1" applyAlignment="1"/>
    <xf numFmtId="0" fontId="5" fillId="0" borderId="6" xfId="0" applyFont="1" applyBorder="1" applyAlignment="1"/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5" fillId="0" borderId="20" xfId="0" applyFont="1" applyBorder="1" applyAlignment="1">
      <alignment vertical="top" wrapText="1"/>
    </xf>
    <xf numFmtId="0" fontId="5" fillId="0" borderId="23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19" fillId="0" borderId="20" xfId="0" applyFont="1" applyBorder="1">
      <alignment vertical="center"/>
    </xf>
    <xf numFmtId="0" fontId="17" fillId="0" borderId="5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178" fontId="15" fillId="0" borderId="0" xfId="8" applyNumberFormat="1" applyFont="1" applyAlignment="1">
      <alignment horizontal="center" vertical="center"/>
    </xf>
    <xf numFmtId="179" fontId="15" fillId="0" borderId="0" xfId="8" applyNumberFormat="1" applyFont="1" applyAlignment="1">
      <alignment horizontal="center" vertical="center"/>
    </xf>
    <xf numFmtId="178" fontId="20" fillId="0" borderId="0" xfId="8" applyNumberFormat="1" applyFont="1" applyAlignment="1">
      <alignment horizontal="center" vertical="center"/>
    </xf>
    <xf numFmtId="178" fontId="19" fillId="0" borderId="0" xfId="8" applyNumberFormat="1" applyFont="1">
      <alignment vertical="center"/>
    </xf>
    <xf numFmtId="3" fontId="0" fillId="0" borderId="0" xfId="0" applyNumberFormat="1">
      <alignment vertical="center"/>
    </xf>
    <xf numFmtId="178" fontId="7" fillId="0" borderId="0" xfId="8" applyNumberFormat="1" applyFont="1" applyBorder="1" applyAlignment="1">
      <alignment horizontal="center" vertical="center"/>
    </xf>
    <xf numFmtId="180" fontId="7" fillId="0" borderId="0" xfId="8" applyNumberFormat="1" applyFont="1" applyBorder="1" applyAlignment="1">
      <alignment vertical="center"/>
    </xf>
    <xf numFmtId="180" fontId="7" fillId="0" borderId="0" xfId="8" applyNumberFormat="1" applyFont="1" applyBorder="1" applyAlignment="1">
      <alignment horizontal="right" vertical="center"/>
    </xf>
    <xf numFmtId="178" fontId="7" fillId="0" borderId="0" xfId="8" applyNumberFormat="1" applyFont="1" applyBorder="1" applyAlignment="1">
      <alignment vertical="center"/>
    </xf>
    <xf numFmtId="179" fontId="7" fillId="0" borderId="0" xfId="8" applyNumberFormat="1" applyFont="1" applyBorder="1" applyAlignment="1">
      <alignment vertical="center"/>
    </xf>
    <xf numFmtId="179" fontId="19" fillId="0" borderId="0" xfId="8" applyNumberFormat="1" applyFont="1">
      <alignment vertical="center"/>
    </xf>
    <xf numFmtId="0" fontId="19" fillId="0" borderId="23" xfId="0" applyFont="1" applyBorder="1" applyAlignment="1">
      <alignment vertical="center" wrapText="1"/>
    </xf>
    <xf numFmtId="178" fontId="7" fillId="0" borderId="33" xfId="8" applyNumberFormat="1" applyFont="1" applyBorder="1" applyAlignment="1">
      <alignment horizontal="center" vertical="center" shrinkToFit="1"/>
    </xf>
    <xf numFmtId="178" fontId="7" fillId="0" borderId="30" xfId="8" applyNumberFormat="1" applyFont="1" applyBorder="1" applyAlignment="1">
      <alignment horizontal="center" vertical="center" shrinkToFit="1"/>
    </xf>
    <xf numFmtId="178" fontId="7" fillId="0" borderId="32" xfId="8" applyNumberFormat="1" applyFont="1" applyBorder="1" applyAlignment="1">
      <alignment horizontal="center" vertical="center" shrinkToFit="1"/>
    </xf>
    <xf numFmtId="179" fontId="7" fillId="0" borderId="34" xfId="8" applyNumberFormat="1" applyFont="1" applyBorder="1" applyAlignment="1">
      <alignment horizontal="center" vertical="center" shrinkToFit="1"/>
    </xf>
    <xf numFmtId="178" fontId="6" fillId="0" borderId="36" xfId="8" applyNumberFormat="1" applyFont="1" applyBorder="1" applyAlignment="1">
      <alignment vertical="center" shrinkToFit="1"/>
    </xf>
    <xf numFmtId="178" fontId="6" fillId="0" borderId="37" xfId="8" applyNumberFormat="1" applyFont="1" applyBorder="1" applyAlignment="1">
      <alignment horizontal="right" vertical="center" shrinkToFit="1"/>
    </xf>
    <xf numFmtId="178" fontId="6" fillId="0" borderId="38" xfId="8" applyNumberFormat="1" applyFont="1" applyBorder="1" applyAlignment="1">
      <alignment horizontal="right" vertical="center" shrinkToFit="1"/>
    </xf>
    <xf numFmtId="180" fontId="6" fillId="0" borderId="40" xfId="8" applyNumberFormat="1" applyFont="1" applyBorder="1" applyAlignment="1">
      <alignment vertical="center" shrinkToFit="1"/>
    </xf>
    <xf numFmtId="180" fontId="6" fillId="0" borderId="41" xfId="8" applyNumberFormat="1" applyFont="1" applyBorder="1" applyAlignment="1">
      <alignment horizontal="right" vertical="center" shrinkToFit="1"/>
    </xf>
    <xf numFmtId="180" fontId="6" fillId="0" borderId="42" xfId="8" applyNumberFormat="1" applyFont="1" applyBorder="1" applyAlignment="1">
      <alignment horizontal="right" vertical="center" shrinkToFit="1"/>
    </xf>
    <xf numFmtId="178" fontId="6" fillId="0" borderId="31" xfId="8" applyNumberFormat="1" applyFont="1" applyBorder="1" applyAlignment="1">
      <alignment horizontal="right" vertical="center" shrinkToFit="1"/>
    </xf>
    <xf numFmtId="178" fontId="6" fillId="0" borderId="32" xfId="8" applyNumberFormat="1" applyFont="1" applyBorder="1" applyAlignment="1">
      <alignment horizontal="right" vertical="center" shrinkToFit="1"/>
    </xf>
    <xf numFmtId="178" fontId="6" fillId="0" borderId="34" xfId="8" applyNumberFormat="1" applyFont="1" applyBorder="1" applyAlignment="1">
      <alignment horizontal="right" vertical="center" shrinkToFit="1"/>
    </xf>
    <xf numFmtId="178" fontId="6" fillId="0" borderId="31" xfId="8" applyNumberFormat="1" applyFont="1" applyBorder="1" applyAlignment="1">
      <alignment vertical="center" shrinkToFit="1"/>
    </xf>
    <xf numFmtId="180" fontId="6" fillId="0" borderId="4" xfId="8" applyNumberFormat="1" applyFont="1" applyBorder="1" applyAlignment="1">
      <alignment vertical="center" shrinkToFit="1"/>
    </xf>
    <xf numFmtId="180" fontId="6" fillId="0" borderId="44" xfId="8" applyNumberFormat="1" applyFont="1" applyBorder="1" applyAlignment="1">
      <alignment horizontal="right" vertical="center" shrinkToFit="1"/>
    </xf>
    <xf numFmtId="180" fontId="6" fillId="0" borderId="15" xfId="8" applyNumberFormat="1" applyFont="1" applyBorder="1" applyAlignment="1">
      <alignment horizontal="right" vertical="center" shrinkToFit="1"/>
    </xf>
    <xf numFmtId="178" fontId="7" fillId="0" borderId="36" xfId="8" applyNumberFormat="1" applyFont="1" applyBorder="1" applyAlignment="1">
      <alignment vertical="center" shrinkToFit="1"/>
    </xf>
    <xf numFmtId="178" fontId="7" fillId="0" borderId="37" xfId="8" applyNumberFormat="1" applyFont="1" applyBorder="1" applyAlignment="1">
      <alignment horizontal="right" vertical="center" shrinkToFit="1"/>
    </xf>
    <xf numFmtId="178" fontId="7" fillId="0" borderId="38" xfId="8" applyNumberFormat="1" applyFont="1" applyBorder="1" applyAlignment="1">
      <alignment horizontal="right" vertical="center" shrinkToFit="1"/>
    </xf>
    <xf numFmtId="180" fontId="7" fillId="0" borderId="47" xfId="8" applyNumberFormat="1" applyFont="1" applyBorder="1" applyAlignment="1">
      <alignment vertical="center" shrinkToFit="1"/>
    </xf>
    <xf numFmtId="180" fontId="7" fillId="0" borderId="48" xfId="8" applyNumberFormat="1" applyFont="1" applyBorder="1" applyAlignment="1">
      <alignment horizontal="right" vertical="center" shrinkToFit="1"/>
    </xf>
    <xf numFmtId="180" fontId="7" fillId="0" borderId="50" xfId="8" applyNumberFormat="1" applyFont="1" applyBorder="1" applyAlignment="1">
      <alignment horizontal="right" vertical="center" shrinkToFit="1"/>
    </xf>
    <xf numFmtId="176" fontId="10" fillId="0" borderId="1" xfId="1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0" fontId="5" fillId="0" borderId="23" xfId="0" applyFont="1" applyBorder="1" applyAlignment="1">
      <alignment vertical="top" wrapText="1"/>
    </xf>
    <xf numFmtId="0" fontId="19" fillId="0" borderId="20" xfId="0" applyFont="1" applyBorder="1" applyAlignment="1">
      <alignment vertical="top"/>
    </xf>
    <xf numFmtId="0" fontId="9" fillId="2" borderId="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76" fontId="10" fillId="0" borderId="14" xfId="1" applyNumberFormat="1" applyFont="1" applyBorder="1" applyAlignment="1">
      <alignment vertical="center"/>
    </xf>
    <xf numFmtId="176" fontId="10" fillId="0" borderId="15" xfId="1" applyNumberFormat="1" applyFont="1" applyBorder="1" applyAlignment="1">
      <alignment vertical="center"/>
    </xf>
    <xf numFmtId="176" fontId="9" fillId="3" borderId="1" xfId="1" applyNumberFormat="1" applyFont="1" applyFill="1" applyBorder="1" applyAlignment="1">
      <alignment vertical="center"/>
    </xf>
    <xf numFmtId="176" fontId="9" fillId="4" borderId="1" xfId="1" applyNumberFormat="1" applyFont="1" applyFill="1" applyBorder="1" applyAlignment="1">
      <alignment vertical="center"/>
    </xf>
    <xf numFmtId="176" fontId="10" fillId="0" borderId="2" xfId="1" applyNumberFormat="1" applyFont="1" applyBorder="1" applyAlignment="1">
      <alignment vertical="center"/>
    </xf>
    <xf numFmtId="176" fontId="10" fillId="0" borderId="4" xfId="1" applyNumberFormat="1" applyFont="1" applyBorder="1" applyAlignment="1">
      <alignment vertical="center"/>
    </xf>
    <xf numFmtId="176" fontId="10" fillId="0" borderId="3" xfId="1" applyNumberFormat="1" applyFont="1" applyBorder="1" applyAlignment="1">
      <alignment vertical="center"/>
    </xf>
    <xf numFmtId="176" fontId="10" fillId="0" borderId="1" xfId="1" applyNumberFormat="1" applyFont="1" applyBorder="1" applyAlignment="1">
      <alignment vertical="center"/>
    </xf>
    <xf numFmtId="176" fontId="10" fillId="0" borderId="4" xfId="1" applyNumberFormat="1" applyFont="1" applyBorder="1" applyAlignment="1">
      <alignment horizontal="right" vertical="center"/>
    </xf>
    <xf numFmtId="176" fontId="10" fillId="0" borderId="1" xfId="1" applyNumberFormat="1" applyFont="1" applyBorder="1" applyAlignment="1">
      <alignment horizontal="right" vertical="center"/>
    </xf>
    <xf numFmtId="176" fontId="9" fillId="5" borderId="17" xfId="0" applyNumberFormat="1" applyFont="1" applyFill="1" applyBorder="1" applyAlignment="1">
      <alignment vertical="center"/>
    </xf>
    <xf numFmtId="176" fontId="10" fillId="0" borderId="12" xfId="1" applyNumberFormat="1" applyFont="1" applyBorder="1" applyAlignment="1">
      <alignment vertical="center"/>
    </xf>
    <xf numFmtId="176" fontId="9" fillId="7" borderId="12" xfId="1" applyNumberFormat="1" applyFont="1" applyFill="1" applyBorder="1" applyAlignment="1">
      <alignment vertical="center"/>
    </xf>
    <xf numFmtId="176" fontId="9" fillId="4" borderId="12" xfId="1" applyNumberFormat="1" applyFont="1" applyFill="1" applyBorder="1" applyAlignment="1">
      <alignment vertical="center"/>
    </xf>
    <xf numFmtId="176" fontId="9" fillId="4" borderId="14" xfId="1" applyNumberFormat="1" applyFont="1" applyFill="1" applyBorder="1" applyAlignment="1">
      <alignment vertical="center"/>
    </xf>
    <xf numFmtId="176" fontId="9" fillId="3" borderId="11" xfId="1" applyNumberFormat="1" applyFont="1" applyFill="1" applyBorder="1" applyAlignment="1">
      <alignment vertical="center"/>
    </xf>
    <xf numFmtId="176" fontId="10" fillId="0" borderId="12" xfId="1" applyNumberFormat="1" applyFont="1" applyBorder="1" applyAlignment="1">
      <alignment horizontal="right" vertical="center"/>
    </xf>
    <xf numFmtId="176" fontId="9" fillId="3" borderId="12" xfId="1" applyNumberFormat="1" applyFont="1" applyFill="1" applyBorder="1" applyAlignment="1">
      <alignment vertical="center"/>
    </xf>
    <xf numFmtId="176" fontId="9" fillId="3" borderId="1" xfId="1" applyNumberFormat="1" applyFont="1" applyFill="1" applyBorder="1" applyAlignment="1">
      <alignment vertical="center" shrinkToFit="1"/>
    </xf>
    <xf numFmtId="176" fontId="9" fillId="3" borderId="1" xfId="1" applyNumberFormat="1" applyFont="1" applyFill="1" applyBorder="1" applyAlignment="1">
      <alignment vertical="center" wrapText="1"/>
    </xf>
    <xf numFmtId="176" fontId="9" fillId="4" borderId="2" xfId="1" applyNumberFormat="1" applyFont="1" applyFill="1" applyBorder="1" applyAlignment="1">
      <alignment vertical="center" shrinkToFit="1"/>
    </xf>
    <xf numFmtId="176" fontId="9" fillId="4" borderId="2" xfId="1" applyNumberFormat="1" applyFont="1" applyFill="1" applyBorder="1" applyAlignment="1">
      <alignment vertical="center" wrapText="1"/>
    </xf>
    <xf numFmtId="176" fontId="10" fillId="0" borderId="2" xfId="1" applyNumberFormat="1" applyFont="1" applyBorder="1" applyAlignment="1">
      <alignment vertical="center" shrinkToFit="1"/>
    </xf>
    <xf numFmtId="176" fontId="9" fillId="0" borderId="2" xfId="1" applyNumberFormat="1" applyFont="1" applyBorder="1" applyAlignment="1">
      <alignment vertical="center" wrapText="1"/>
    </xf>
    <xf numFmtId="176" fontId="10" fillId="0" borderId="4" xfId="1" applyNumberFormat="1" applyFont="1" applyBorder="1" applyAlignment="1">
      <alignment vertical="center" shrinkToFit="1"/>
    </xf>
    <xf numFmtId="176" fontId="10" fillId="0" borderId="3" xfId="1" applyNumberFormat="1" applyFont="1" applyBorder="1" applyAlignment="1">
      <alignment vertical="center" shrinkToFit="1"/>
    </xf>
    <xf numFmtId="176" fontId="9" fillId="7" borderId="3" xfId="1" applyNumberFormat="1" applyFont="1" applyFill="1" applyBorder="1" applyAlignment="1">
      <alignment vertical="center" wrapText="1"/>
    </xf>
    <xf numFmtId="176" fontId="9" fillId="4" borderId="1" xfId="1" applyNumberFormat="1" applyFont="1" applyFill="1" applyBorder="1" applyAlignment="1">
      <alignment vertical="center" shrinkToFit="1"/>
    </xf>
    <xf numFmtId="176" fontId="9" fillId="4" borderId="1" xfId="1" applyNumberFormat="1" applyFont="1" applyFill="1" applyBorder="1" applyAlignment="1">
      <alignment vertical="center" wrapText="1"/>
    </xf>
    <xf numFmtId="176" fontId="9" fillId="7" borderId="1" xfId="1" applyNumberFormat="1" applyFont="1" applyFill="1" applyBorder="1" applyAlignment="1">
      <alignment vertical="center" wrapText="1"/>
    </xf>
    <xf numFmtId="176" fontId="9" fillId="0" borderId="4" xfId="1" applyNumberFormat="1" applyFont="1" applyBorder="1" applyAlignment="1">
      <alignment vertical="center" wrapText="1"/>
    </xf>
    <xf numFmtId="176" fontId="10" fillId="0" borderId="4" xfId="1" applyNumberFormat="1" applyFont="1" applyBorder="1" applyAlignment="1">
      <alignment vertical="center" wrapText="1"/>
    </xf>
    <xf numFmtId="176" fontId="10" fillId="0" borderId="1" xfId="1" applyNumberFormat="1" applyFont="1" applyBorder="1" applyAlignment="1">
      <alignment vertical="center" shrinkToFit="1"/>
    </xf>
    <xf numFmtId="176" fontId="10" fillId="0" borderId="1" xfId="1" applyNumberFormat="1" applyFont="1" applyBorder="1" applyAlignment="1">
      <alignment vertical="center" wrapText="1"/>
    </xf>
    <xf numFmtId="176" fontId="11" fillId="0" borderId="4" xfId="1" applyNumberFormat="1" applyFont="1" applyFill="1" applyBorder="1" applyAlignment="1">
      <alignment vertical="center" wrapText="1"/>
    </xf>
    <xf numFmtId="176" fontId="14" fillId="0" borderId="4" xfId="1" applyNumberFormat="1" applyFont="1" applyBorder="1" applyAlignment="1">
      <alignment vertical="center" wrapText="1"/>
    </xf>
    <xf numFmtId="176" fontId="14" fillId="0" borderId="2" xfId="1" applyNumberFormat="1" applyFont="1" applyBorder="1" applyAlignment="1">
      <alignment vertical="center" wrapText="1"/>
    </xf>
    <xf numFmtId="176" fontId="9" fillId="0" borderId="2" xfId="1" applyNumberFormat="1" applyFont="1" applyBorder="1" applyAlignment="1">
      <alignment horizontal="center" vertical="center" wrapText="1"/>
    </xf>
    <xf numFmtId="176" fontId="9" fillId="0" borderId="2" xfId="1" applyNumberFormat="1" applyFont="1" applyBorder="1" applyAlignment="1">
      <alignment vertical="center" shrinkToFit="1"/>
    </xf>
    <xf numFmtId="176" fontId="9" fillId="5" borderId="17" xfId="0" applyNumberFormat="1" applyFont="1" applyFill="1" applyBorder="1" applyAlignment="1">
      <alignment vertical="center" shrinkToFit="1"/>
    </xf>
    <xf numFmtId="176" fontId="10" fillId="0" borderId="3" xfId="1" applyNumberFormat="1" applyFont="1" applyFill="1" applyBorder="1" applyAlignment="1">
      <alignment vertical="center" wrapText="1"/>
    </xf>
    <xf numFmtId="181" fontId="9" fillId="7" borderId="11" xfId="1" applyNumberFormat="1" applyFont="1" applyFill="1" applyBorder="1" applyAlignment="1">
      <alignment vertical="center"/>
    </xf>
    <xf numFmtId="181" fontId="9" fillId="4" borderId="12" xfId="1" applyNumberFormat="1" applyFont="1" applyFill="1" applyBorder="1" applyAlignment="1">
      <alignment vertical="center"/>
    </xf>
    <xf numFmtId="181" fontId="10" fillId="0" borderId="14" xfId="1" applyNumberFormat="1" applyFont="1" applyBorder="1" applyAlignment="1">
      <alignment vertical="center"/>
    </xf>
    <xf numFmtId="181" fontId="9" fillId="7" borderId="12" xfId="1" applyNumberFormat="1" applyFont="1" applyFill="1" applyBorder="1" applyAlignment="1">
      <alignment vertical="center"/>
    </xf>
    <xf numFmtId="181" fontId="10" fillId="0" borderId="12" xfId="1" applyNumberFormat="1" applyFont="1" applyBorder="1" applyAlignment="1">
      <alignment vertical="center"/>
    </xf>
    <xf numFmtId="181" fontId="9" fillId="3" borderId="12" xfId="1" applyNumberFormat="1" applyFont="1" applyFill="1" applyBorder="1" applyAlignment="1">
      <alignment vertical="center"/>
    </xf>
    <xf numFmtId="181" fontId="10" fillId="0" borderId="15" xfId="1" applyNumberFormat="1" applyFont="1" applyBorder="1" applyAlignment="1">
      <alignment vertical="center"/>
    </xf>
    <xf numFmtId="181" fontId="11" fillId="0" borderId="15" xfId="1" applyNumberFormat="1" applyFont="1" applyBorder="1" applyAlignment="1">
      <alignment vertical="center"/>
    </xf>
    <xf numFmtId="181" fontId="11" fillId="0" borderId="14" xfId="1" applyNumberFormat="1" applyFont="1" applyBorder="1" applyAlignment="1">
      <alignment vertical="center"/>
    </xf>
    <xf numFmtId="181" fontId="9" fillId="5" borderId="18" xfId="0" applyNumberFormat="1" applyFont="1" applyFill="1" applyBorder="1" applyAlignment="1">
      <alignment vertical="center"/>
    </xf>
    <xf numFmtId="176" fontId="11" fillId="0" borderId="4" xfId="3" applyNumberFormat="1" applyFont="1" applyFill="1" applyBorder="1" applyAlignment="1">
      <alignment horizontal="left" vertical="center" shrinkToFit="1"/>
    </xf>
    <xf numFmtId="181" fontId="10" fillId="0" borderId="15" xfId="1" applyNumberFormat="1" applyFont="1" applyFill="1" applyBorder="1" applyAlignment="1">
      <alignment vertical="center"/>
    </xf>
    <xf numFmtId="181" fontId="11" fillId="0" borderId="15" xfId="1" applyNumberFormat="1" applyFont="1" applyFill="1" applyBorder="1" applyAlignment="1">
      <alignment vertical="center"/>
    </xf>
    <xf numFmtId="181" fontId="10" fillId="0" borderId="2" xfId="1" applyNumberFormat="1" applyFont="1" applyBorder="1" applyAlignment="1">
      <alignment vertical="center" shrinkToFit="1"/>
    </xf>
    <xf numFmtId="176" fontId="10" fillId="0" borderId="4" xfId="1" applyNumberFormat="1" applyFont="1" applyFill="1" applyBorder="1" applyAlignment="1">
      <alignment vertical="center" shrinkToFit="1"/>
    </xf>
    <xf numFmtId="176" fontId="10" fillId="0" borderId="4" xfId="1" applyNumberFormat="1" applyFont="1" applyFill="1" applyBorder="1" applyAlignment="1">
      <alignment vertical="center" wrapText="1"/>
    </xf>
    <xf numFmtId="181" fontId="10" fillId="0" borderId="15" xfId="1" applyNumberFormat="1" applyFont="1" applyFill="1" applyBorder="1" applyAlignment="1">
      <alignment horizontal="right" vertical="center"/>
    </xf>
    <xf numFmtId="181" fontId="10" fillId="0" borderId="11" xfId="1" applyNumberFormat="1" applyFont="1" applyFill="1" applyBorder="1" applyAlignment="1">
      <alignment vertical="center"/>
    </xf>
    <xf numFmtId="0" fontId="0" fillId="0" borderId="0" xfId="0">
      <alignment vertical="center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/>
    </xf>
    <xf numFmtId="181" fontId="10" fillId="0" borderId="4" xfId="1" applyNumberFormat="1" applyFont="1" applyBorder="1" applyAlignment="1">
      <alignment vertical="center" shrinkToFit="1"/>
    </xf>
    <xf numFmtId="181" fontId="9" fillId="4" borderId="1" xfId="1" applyNumberFormat="1" applyFont="1" applyFill="1" applyBorder="1" applyAlignment="1">
      <alignment vertical="center" shrinkToFit="1"/>
    </xf>
    <xf numFmtId="176" fontId="10" fillId="0" borderId="40" xfId="1" applyNumberFormat="1" applyFont="1" applyFill="1" applyBorder="1" applyAlignment="1">
      <alignment vertical="center" wrapText="1"/>
    </xf>
    <xf numFmtId="181" fontId="10" fillId="0" borderId="42" xfId="1" applyNumberFormat="1" applyFont="1" applyFill="1" applyBorder="1" applyAlignment="1">
      <alignment vertical="center"/>
    </xf>
    <xf numFmtId="181" fontId="10" fillId="0" borderId="3" xfId="1" applyNumberFormat="1" applyFont="1" applyBorder="1" applyAlignment="1">
      <alignment vertical="center" shrinkToFit="1"/>
    </xf>
    <xf numFmtId="181" fontId="9" fillId="3" borderId="1" xfId="1" applyNumberFormat="1" applyFont="1" applyFill="1" applyBorder="1" applyAlignment="1">
      <alignment vertical="center" shrinkToFit="1"/>
    </xf>
    <xf numFmtId="178" fontId="7" fillId="0" borderId="31" xfId="8" applyNumberFormat="1" applyFont="1" applyBorder="1" applyAlignment="1">
      <alignment horizontal="center" vertical="center" wrapText="1" shrinkToFit="1"/>
    </xf>
    <xf numFmtId="181" fontId="6" fillId="0" borderId="34" xfId="8" applyNumberFormat="1" applyFont="1" applyBorder="1" applyAlignment="1">
      <alignment horizontal="right" vertical="center" shrinkToFit="1"/>
    </xf>
    <xf numFmtId="176" fontId="10" fillId="0" borderId="1" xfId="1" applyFont="1" applyFill="1" applyBorder="1" applyAlignment="1">
      <alignment horizontal="left" vertical="center" wrapText="1"/>
    </xf>
    <xf numFmtId="176" fontId="10" fillId="0" borderId="12" xfId="1" applyNumberFormat="1" applyFont="1" applyFill="1" applyBorder="1" applyAlignment="1">
      <alignment horizontal="right" vertical="center"/>
    </xf>
    <xf numFmtId="176" fontId="10" fillId="0" borderId="1" xfId="1" applyFont="1" applyBorder="1" applyAlignment="1">
      <alignment vertical="center" shrinkToFit="1"/>
    </xf>
    <xf numFmtId="0" fontId="11" fillId="0" borderId="2" xfId="3" applyFont="1" applyFill="1" applyBorder="1" applyAlignment="1">
      <alignment horizontal="left" vertical="center" shrinkToFit="1"/>
    </xf>
    <xf numFmtId="176" fontId="10" fillId="0" borderId="14" xfId="1" applyNumberFormat="1" applyFont="1" applyFill="1" applyBorder="1" applyAlignment="1">
      <alignment vertical="center"/>
    </xf>
    <xf numFmtId="0" fontId="11" fillId="0" borderId="4" xfId="3" applyFont="1" applyFill="1" applyBorder="1" applyAlignment="1">
      <alignment horizontal="left" vertical="center" shrinkToFit="1"/>
    </xf>
    <xf numFmtId="176" fontId="10" fillId="0" borderId="15" xfId="1" applyNumberFormat="1" applyFont="1" applyFill="1" applyBorder="1" applyAlignment="1">
      <alignment vertical="center"/>
    </xf>
    <xf numFmtId="0" fontId="11" fillId="0" borderId="3" xfId="3" applyFont="1" applyFill="1" applyBorder="1" applyAlignment="1">
      <alignment horizontal="left" vertical="center" shrinkToFit="1"/>
    </xf>
    <xf numFmtId="176" fontId="10" fillId="0" borderId="11" xfId="1" applyNumberFormat="1" applyFont="1" applyFill="1" applyBorder="1" applyAlignment="1">
      <alignment vertical="center"/>
    </xf>
    <xf numFmtId="0" fontId="10" fillId="0" borderId="2" xfId="4" applyFont="1" applyFill="1" applyBorder="1">
      <alignment vertical="center"/>
    </xf>
    <xf numFmtId="0" fontId="10" fillId="0" borderId="4" xfId="4" applyFont="1" applyFill="1" applyBorder="1">
      <alignment vertical="center"/>
    </xf>
    <xf numFmtId="0" fontId="11" fillId="0" borderId="4" xfId="3" applyFont="1" applyFill="1" applyBorder="1" applyAlignment="1">
      <alignment horizontal="center" vertical="center" shrinkToFit="1"/>
    </xf>
    <xf numFmtId="176" fontId="10" fillId="0" borderId="15" xfId="1" applyNumberFormat="1" applyFont="1" applyFill="1" applyBorder="1" applyAlignment="1">
      <alignment horizontal="right" vertical="center"/>
    </xf>
    <xf numFmtId="176" fontId="10" fillId="0" borderId="2" xfId="1" applyNumberFormat="1" applyFont="1" applyBorder="1" applyAlignment="1">
      <alignment vertical="center" wrapText="1"/>
    </xf>
    <xf numFmtId="176" fontId="10" fillId="0" borderId="3" xfId="1" applyNumberFormat="1" applyFont="1" applyFill="1" applyBorder="1" applyAlignment="1">
      <alignment vertical="center" shrinkToFit="1"/>
    </xf>
    <xf numFmtId="176" fontId="10" fillId="0" borderId="4" xfId="4" applyNumberFormat="1" applyFont="1" applyFill="1" applyBorder="1">
      <alignment vertical="center"/>
    </xf>
    <xf numFmtId="177" fontId="10" fillId="0" borderId="40" xfId="1" applyNumberFormat="1" applyFont="1" applyBorder="1" applyAlignment="1">
      <alignment vertical="center" wrapText="1"/>
    </xf>
    <xf numFmtId="181" fontId="10" fillId="0" borderId="42" xfId="1" applyNumberFormat="1" applyFont="1" applyBorder="1" applyAlignment="1">
      <alignment vertical="center"/>
    </xf>
    <xf numFmtId="176" fontId="11" fillId="0" borderId="4" xfId="1" applyNumberFormat="1" applyFont="1" applyBorder="1" applyAlignment="1">
      <alignment vertical="center" wrapText="1"/>
    </xf>
    <xf numFmtId="176" fontId="9" fillId="0" borderId="4" xfId="1" applyFont="1" applyBorder="1" applyAlignment="1">
      <alignment vertical="center" wrapText="1"/>
    </xf>
    <xf numFmtId="0" fontId="0" fillId="0" borderId="0" xfId="0">
      <alignment vertical="center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shrinkToFit="1"/>
    </xf>
    <xf numFmtId="176" fontId="10" fillId="0" borderId="4" xfId="1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/>
    </xf>
    <xf numFmtId="176" fontId="9" fillId="0" borderId="3" xfId="1" applyNumberFormat="1" applyFont="1" applyFill="1" applyBorder="1" applyAlignment="1">
      <alignment vertical="center" wrapText="1"/>
    </xf>
    <xf numFmtId="181" fontId="9" fillId="0" borderId="11" xfId="1" applyNumberFormat="1" applyFont="1" applyFill="1" applyBorder="1" applyAlignment="1">
      <alignment vertical="center"/>
    </xf>
    <xf numFmtId="176" fontId="10" fillId="0" borderId="2" xfId="4" applyNumberFormat="1" applyFont="1" applyFill="1" applyBorder="1">
      <alignment vertical="center"/>
    </xf>
    <xf numFmtId="181" fontId="10" fillId="0" borderId="14" xfId="1" applyNumberFormat="1" applyFont="1" applyFill="1" applyBorder="1" applyAlignment="1">
      <alignment vertical="center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23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178" fontId="22" fillId="0" borderId="52" xfId="8" applyNumberFormat="1" applyFont="1" applyBorder="1" applyAlignment="1">
      <alignment horizontal="center" vertical="center" shrinkToFit="1"/>
    </xf>
    <xf numFmtId="178" fontId="22" fillId="0" borderId="51" xfId="8" applyNumberFormat="1" applyFont="1" applyBorder="1" applyAlignment="1">
      <alignment horizontal="center" vertical="center" shrinkToFit="1"/>
    </xf>
    <xf numFmtId="178" fontId="7" fillId="0" borderId="52" xfId="8" applyNumberFormat="1" applyFont="1" applyBorder="1" applyAlignment="1">
      <alignment horizontal="center" vertical="center" shrinkToFit="1"/>
    </xf>
    <xf numFmtId="178" fontId="7" fillId="0" borderId="53" xfId="8" applyNumberFormat="1" applyFont="1" applyBorder="1" applyAlignment="1">
      <alignment horizontal="center" vertical="center" shrinkToFit="1"/>
    </xf>
    <xf numFmtId="178" fontId="22" fillId="0" borderId="30" xfId="8" applyNumberFormat="1" applyFont="1" applyBorder="1" applyAlignment="1">
      <alignment horizontal="center" vertical="center" shrinkToFit="1"/>
    </xf>
    <xf numFmtId="178" fontId="22" fillId="0" borderId="43" xfId="8" applyNumberFormat="1" applyFont="1" applyBorder="1" applyAlignment="1">
      <alignment horizontal="center" vertical="center" shrinkToFit="1"/>
    </xf>
    <xf numFmtId="178" fontId="7" fillId="0" borderId="13" xfId="8" applyNumberFormat="1" applyFont="1" applyBorder="1" applyAlignment="1">
      <alignment horizontal="center" vertical="center" shrinkToFit="1"/>
    </xf>
    <xf numFmtId="178" fontId="7" fillId="0" borderId="46" xfId="8" applyNumberFormat="1" applyFont="1" applyBorder="1" applyAlignment="1">
      <alignment horizontal="center" vertical="center" shrinkToFit="1"/>
    </xf>
    <xf numFmtId="178" fontId="7" fillId="0" borderId="45" xfId="8" applyNumberFormat="1" applyFont="1" applyBorder="1" applyAlignment="1">
      <alignment horizontal="center" vertical="center" shrinkToFit="1"/>
    </xf>
    <xf numFmtId="178" fontId="7" fillId="0" borderId="49" xfId="8" applyNumberFormat="1" applyFont="1" applyBorder="1" applyAlignment="1">
      <alignment horizontal="center" vertical="center" shrinkToFit="1"/>
    </xf>
    <xf numFmtId="178" fontId="22" fillId="0" borderId="39" xfId="8" applyNumberFormat="1" applyFont="1" applyBorder="1" applyAlignment="1">
      <alignment horizontal="center" vertical="center" shrinkToFit="1"/>
    </xf>
    <xf numFmtId="178" fontId="7" fillId="0" borderId="51" xfId="8" applyNumberFormat="1" applyFont="1" applyBorder="1" applyAlignment="1">
      <alignment horizontal="center" vertical="center" shrinkToFit="1"/>
    </xf>
    <xf numFmtId="178" fontId="7" fillId="0" borderId="30" xfId="8" applyNumberFormat="1" applyFont="1" applyBorder="1" applyAlignment="1">
      <alignment horizontal="center" vertical="center" shrinkToFit="1"/>
    </xf>
    <xf numFmtId="178" fontId="7" fillId="0" borderId="39" xfId="8" applyNumberFormat="1" applyFont="1" applyBorder="1" applyAlignment="1">
      <alignment horizontal="center" vertical="center" shrinkToFit="1"/>
    </xf>
    <xf numFmtId="178" fontId="25" fillId="0" borderId="0" xfId="8" applyNumberFormat="1" applyFont="1" applyAlignment="1">
      <alignment horizontal="center" vertical="center"/>
    </xf>
    <xf numFmtId="178" fontId="19" fillId="0" borderId="0" xfId="8" applyNumberFormat="1" applyFont="1" applyBorder="1" applyAlignment="1">
      <alignment horizontal="right" vertical="center"/>
    </xf>
    <xf numFmtId="178" fontId="21" fillId="0" borderId="25" xfId="8" applyNumberFormat="1" applyFont="1" applyBorder="1" applyAlignment="1">
      <alignment horizontal="center" vertical="center" shrinkToFit="1"/>
    </xf>
    <xf numFmtId="178" fontId="21" fillId="0" borderId="26" xfId="8" applyNumberFormat="1" applyFont="1" applyBorder="1" applyAlignment="1">
      <alignment horizontal="center" vertical="center" shrinkToFit="1"/>
    </xf>
    <xf numFmtId="178" fontId="21" fillId="0" borderId="27" xfId="8" applyNumberFormat="1" applyFont="1" applyBorder="1" applyAlignment="1">
      <alignment horizontal="center" vertical="center" shrinkToFit="1"/>
    </xf>
    <xf numFmtId="178" fontId="21" fillId="0" borderId="28" xfId="8" applyNumberFormat="1" applyFont="1" applyBorder="1" applyAlignment="1">
      <alignment horizontal="center" vertical="center" shrinkToFit="1"/>
    </xf>
    <xf numFmtId="178" fontId="21" fillId="0" borderId="29" xfId="8" applyNumberFormat="1" applyFont="1" applyBorder="1" applyAlignment="1">
      <alignment horizontal="center" vertical="center" shrinkToFit="1"/>
    </xf>
    <xf numFmtId="178" fontId="7" fillId="0" borderId="35" xfId="8" applyNumberFormat="1" applyFont="1" applyBorder="1" applyAlignment="1">
      <alignment horizontal="center" vertical="center" shrinkToFit="1"/>
    </xf>
    <xf numFmtId="0" fontId="23" fillId="0" borderId="0" xfId="2" applyFont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</cellXfs>
  <cellStyles count="9">
    <cellStyle name="쉼표 [0]" xfId="1" builtinId="6"/>
    <cellStyle name="쉼표 [0] 2" xfId="5"/>
    <cellStyle name="쉼표 [0] 2 2" xfId="6"/>
    <cellStyle name="쉼표 [0] 3" xfId="7"/>
    <cellStyle name="표준" xfId="0" builtinId="0"/>
    <cellStyle name="표준 2" xfId="3"/>
    <cellStyle name="표준 2 2" xfId="8"/>
    <cellStyle name="표준 3" xfId="2"/>
    <cellStyle name="표준 4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5236;&#47928;&#49436;2/0.%20&#50696;&#44208;&#49328;/2017%20&#48376;&#50696;&#49328;/(&#52572;&#51333;)%202017%20&#48376;&#50696;&#4932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예산총칙"/>
      <sheetName val="총괄표"/>
      <sheetName val="총세입(2017)"/>
      <sheetName val="총세출(2017)_5차"/>
    </sheetNames>
    <sheetDataSet>
      <sheetData sheetId="0"/>
      <sheetData sheetId="1"/>
      <sheetData sheetId="2"/>
      <sheetData sheetId="3">
        <row r="6">
          <cell r="D6">
            <v>291000</v>
          </cell>
        </row>
        <row r="59">
          <cell r="D59">
            <v>0</v>
          </cell>
        </row>
      </sheetData>
      <sheetData sheetId="4">
        <row r="5">
          <cell r="D5">
            <v>4440801.8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BreakPreview" zoomScaleNormal="100" zoomScaleSheetLayoutView="100" workbookViewId="0">
      <selection activeCell="G5" sqref="G5"/>
    </sheetView>
  </sheetViews>
  <sheetFormatPr defaultRowHeight="16.5"/>
  <cols>
    <col min="1" max="1" width="2.625" style="11" customWidth="1"/>
    <col min="2" max="2" width="2.25" style="11" customWidth="1"/>
    <col min="3" max="3" width="4.25" style="11" customWidth="1"/>
    <col min="4" max="8" width="11.75" style="11" customWidth="1"/>
    <col min="9" max="16384" width="9" style="11"/>
  </cols>
  <sheetData>
    <row r="1" spans="1:9" ht="65.25" customHeight="1">
      <c r="A1" s="58"/>
      <c r="B1" s="59"/>
      <c r="C1" s="59"/>
      <c r="D1" s="59"/>
      <c r="E1" s="59"/>
      <c r="F1" s="59"/>
      <c r="G1" s="59"/>
      <c r="H1" s="59"/>
      <c r="I1" s="60"/>
    </row>
    <row r="2" spans="1:9" ht="31.5">
      <c r="A2" s="219" t="s">
        <v>129</v>
      </c>
      <c r="B2" s="220"/>
      <c r="C2" s="220"/>
      <c r="D2" s="220"/>
      <c r="E2" s="220"/>
      <c r="F2" s="220"/>
      <c r="G2" s="220"/>
      <c r="H2" s="220"/>
      <c r="I2" s="221"/>
    </row>
    <row r="3" spans="1:9" ht="15" customHeight="1">
      <c r="A3" s="61"/>
      <c r="B3" s="62"/>
      <c r="C3" s="62"/>
      <c r="D3" s="63"/>
      <c r="E3" s="63"/>
      <c r="F3" s="63"/>
      <c r="G3" s="62"/>
      <c r="H3" s="62"/>
      <c r="I3" s="64"/>
    </row>
    <row r="4" spans="1:9" ht="83.25" customHeight="1">
      <c r="A4" s="219" t="s">
        <v>200</v>
      </c>
      <c r="B4" s="220"/>
      <c r="C4" s="220"/>
      <c r="D4" s="220"/>
      <c r="E4" s="220"/>
      <c r="F4" s="220"/>
      <c r="G4" s="220"/>
      <c r="H4" s="220"/>
      <c r="I4" s="221"/>
    </row>
    <row r="5" spans="1:9">
      <c r="A5" s="61"/>
      <c r="B5" s="62"/>
      <c r="C5" s="62"/>
      <c r="D5" s="62"/>
      <c r="E5" s="62"/>
      <c r="F5" s="62"/>
      <c r="G5" s="62"/>
      <c r="H5" s="62"/>
      <c r="I5" s="64"/>
    </row>
    <row r="6" spans="1:9">
      <c r="A6" s="61"/>
      <c r="B6" s="62"/>
      <c r="C6" s="62"/>
      <c r="D6" s="62"/>
      <c r="E6" s="62"/>
      <c r="F6" s="62"/>
      <c r="G6" s="62"/>
      <c r="H6" s="62"/>
      <c r="I6" s="64"/>
    </row>
    <row r="7" spans="1:9">
      <c r="A7" s="61"/>
      <c r="B7" s="62"/>
      <c r="C7" s="62"/>
      <c r="D7" s="62"/>
      <c r="E7" s="62"/>
      <c r="F7" s="62"/>
      <c r="G7" s="62"/>
      <c r="H7" s="62"/>
      <c r="I7" s="64"/>
    </row>
    <row r="8" spans="1:9">
      <c r="A8" s="61"/>
      <c r="B8" s="62"/>
      <c r="C8" s="62"/>
      <c r="D8" s="62"/>
      <c r="E8" s="62"/>
      <c r="F8" s="62"/>
      <c r="G8" s="62"/>
      <c r="H8" s="62"/>
      <c r="I8" s="64"/>
    </row>
    <row r="9" spans="1:9">
      <c r="A9" s="61"/>
      <c r="B9" s="62"/>
      <c r="C9" s="62"/>
      <c r="D9" s="62"/>
      <c r="E9" s="62"/>
      <c r="F9" s="62"/>
      <c r="G9" s="62"/>
      <c r="H9" s="62"/>
      <c r="I9" s="64"/>
    </row>
    <row r="10" spans="1:9">
      <c r="A10" s="61"/>
      <c r="B10" s="62"/>
      <c r="C10" s="62"/>
      <c r="D10" s="62"/>
      <c r="E10" s="62"/>
      <c r="F10" s="62"/>
      <c r="G10" s="62"/>
      <c r="H10" s="62"/>
      <c r="I10" s="64"/>
    </row>
    <row r="11" spans="1:9">
      <c r="A11" s="61"/>
      <c r="B11" s="62"/>
      <c r="C11" s="62"/>
      <c r="D11" s="62"/>
      <c r="E11" s="62"/>
      <c r="F11" s="62"/>
      <c r="G11" s="62"/>
      <c r="H11" s="62"/>
      <c r="I11" s="64"/>
    </row>
    <row r="12" spans="1:9">
      <c r="A12" s="61"/>
      <c r="B12" s="62"/>
      <c r="C12" s="62"/>
      <c r="D12" s="62"/>
      <c r="E12" s="62"/>
      <c r="F12" s="62"/>
      <c r="G12" s="62"/>
      <c r="H12" s="62"/>
      <c r="I12" s="64"/>
    </row>
    <row r="13" spans="1:9">
      <c r="A13" s="61"/>
      <c r="B13" s="62"/>
      <c r="C13" s="62"/>
      <c r="D13" s="62"/>
      <c r="E13" s="62"/>
      <c r="F13" s="62"/>
      <c r="G13" s="62"/>
      <c r="H13" s="62"/>
      <c r="I13" s="64"/>
    </row>
    <row r="14" spans="1:9">
      <c r="A14" s="61"/>
      <c r="B14" s="62"/>
      <c r="C14" s="62"/>
      <c r="D14" s="62"/>
      <c r="E14" s="62"/>
      <c r="F14" s="62"/>
      <c r="G14" s="62"/>
      <c r="H14" s="62"/>
      <c r="I14" s="64"/>
    </row>
    <row r="15" spans="1:9">
      <c r="A15" s="61"/>
      <c r="B15" s="62"/>
      <c r="C15" s="62"/>
      <c r="D15" s="62"/>
      <c r="E15" s="62"/>
      <c r="F15" s="62"/>
      <c r="G15" s="62"/>
      <c r="H15" s="62"/>
      <c r="I15" s="64"/>
    </row>
    <row r="16" spans="1:9">
      <c r="A16" s="61"/>
      <c r="B16" s="62"/>
      <c r="C16" s="62"/>
      <c r="D16" s="62"/>
      <c r="E16" s="62"/>
      <c r="F16" s="62"/>
      <c r="G16" s="62"/>
      <c r="H16" s="62"/>
      <c r="I16" s="64"/>
    </row>
    <row r="17" spans="1:9">
      <c r="A17" s="61"/>
      <c r="B17" s="62"/>
      <c r="C17" s="62"/>
      <c r="D17" s="62"/>
      <c r="E17" s="62"/>
      <c r="F17" s="62"/>
      <c r="G17" s="62"/>
      <c r="H17" s="62"/>
      <c r="I17" s="64"/>
    </row>
    <row r="18" spans="1:9">
      <c r="A18" s="61"/>
      <c r="B18" s="62"/>
      <c r="C18" s="62"/>
      <c r="D18" s="62"/>
      <c r="E18" s="62"/>
      <c r="F18" s="62"/>
      <c r="G18" s="62"/>
      <c r="H18" s="62"/>
      <c r="I18" s="64"/>
    </row>
    <row r="19" spans="1:9">
      <c r="A19" s="61"/>
      <c r="B19" s="62"/>
      <c r="C19" s="62"/>
      <c r="D19" s="62"/>
      <c r="E19" s="62"/>
      <c r="F19" s="62"/>
      <c r="G19" s="62"/>
      <c r="H19" s="62"/>
      <c r="I19" s="64"/>
    </row>
    <row r="20" spans="1:9">
      <c r="A20" s="61"/>
      <c r="B20" s="62"/>
      <c r="C20" s="62"/>
      <c r="D20" s="62"/>
      <c r="E20" s="62"/>
      <c r="F20" s="62"/>
      <c r="G20" s="62"/>
      <c r="H20" s="62"/>
      <c r="I20" s="64"/>
    </row>
    <row r="21" spans="1:9">
      <c r="A21" s="61"/>
      <c r="B21" s="62"/>
      <c r="C21" s="62"/>
      <c r="D21" s="62"/>
      <c r="E21" s="62"/>
      <c r="F21" s="62"/>
      <c r="G21" s="62"/>
      <c r="H21" s="62"/>
      <c r="I21" s="64"/>
    </row>
    <row r="22" spans="1:9">
      <c r="A22" s="61"/>
      <c r="B22" s="62"/>
      <c r="C22" s="62"/>
      <c r="D22" s="62"/>
      <c r="E22" s="62"/>
      <c r="F22" s="62"/>
      <c r="G22" s="62"/>
      <c r="H22" s="62"/>
      <c r="I22" s="64"/>
    </row>
    <row r="23" spans="1:9">
      <c r="A23" s="61"/>
      <c r="B23" s="62"/>
      <c r="C23" s="62"/>
      <c r="D23" s="62"/>
      <c r="E23" s="62"/>
      <c r="F23" s="62"/>
      <c r="G23" s="62"/>
      <c r="H23" s="62"/>
      <c r="I23" s="64"/>
    </row>
    <row r="24" spans="1:9">
      <c r="A24" s="61"/>
      <c r="B24" s="62"/>
      <c r="C24" s="62"/>
      <c r="D24" s="62"/>
      <c r="E24" s="62"/>
      <c r="F24" s="62"/>
      <c r="G24" s="62"/>
      <c r="H24" s="62"/>
      <c r="I24" s="64"/>
    </row>
    <row r="25" spans="1:9">
      <c r="A25" s="61"/>
      <c r="B25" s="62"/>
      <c r="C25" s="62"/>
      <c r="D25" s="62"/>
      <c r="E25" s="62"/>
      <c r="F25" s="62"/>
      <c r="G25" s="62"/>
      <c r="H25" s="62"/>
      <c r="I25" s="64"/>
    </row>
    <row r="26" spans="1:9">
      <c r="A26" s="61"/>
      <c r="B26" s="62"/>
      <c r="C26" s="62"/>
      <c r="D26" s="62"/>
      <c r="E26" s="62"/>
      <c r="F26" s="62"/>
      <c r="G26" s="62"/>
      <c r="H26" s="62"/>
      <c r="I26" s="64"/>
    </row>
    <row r="27" spans="1:9">
      <c r="A27" s="61"/>
      <c r="B27" s="62"/>
      <c r="C27" s="62"/>
      <c r="D27" s="62"/>
      <c r="E27" s="62"/>
      <c r="F27" s="62"/>
      <c r="G27" s="62"/>
      <c r="H27" s="62"/>
      <c r="I27" s="64"/>
    </row>
    <row r="28" spans="1:9" ht="31.5">
      <c r="A28" s="219" t="s">
        <v>131</v>
      </c>
      <c r="B28" s="220"/>
      <c r="C28" s="220"/>
      <c r="D28" s="220"/>
      <c r="E28" s="220"/>
      <c r="F28" s="220"/>
      <c r="G28" s="220"/>
      <c r="H28" s="220"/>
      <c r="I28" s="221"/>
    </row>
    <row r="29" spans="1:9" ht="31.5">
      <c r="A29" s="219" t="s">
        <v>130</v>
      </c>
      <c r="B29" s="220"/>
      <c r="C29" s="220"/>
      <c r="D29" s="220"/>
      <c r="E29" s="220"/>
      <c r="F29" s="220"/>
      <c r="G29" s="220"/>
      <c r="H29" s="220"/>
      <c r="I29" s="221"/>
    </row>
    <row r="30" spans="1:9">
      <c r="A30" s="61"/>
      <c r="B30" s="62"/>
      <c r="C30" s="62"/>
      <c r="D30" s="62"/>
      <c r="E30" s="62"/>
      <c r="F30" s="62"/>
      <c r="G30" s="62"/>
      <c r="H30" s="62"/>
      <c r="I30" s="64"/>
    </row>
    <row r="31" spans="1:9">
      <c r="A31" s="61"/>
      <c r="B31" s="62"/>
      <c r="C31" s="62"/>
      <c r="D31" s="62"/>
      <c r="E31" s="62"/>
      <c r="F31" s="62"/>
      <c r="G31" s="62"/>
      <c r="H31" s="62"/>
      <c r="I31" s="64"/>
    </row>
    <row r="32" spans="1:9" ht="17.25" thickBot="1">
      <c r="A32" s="65"/>
      <c r="B32" s="66"/>
      <c r="C32" s="66"/>
      <c r="D32" s="66"/>
      <c r="E32" s="66"/>
      <c r="F32" s="66"/>
      <c r="G32" s="66"/>
      <c r="H32" s="66"/>
      <c r="I32" s="67"/>
    </row>
  </sheetData>
  <mergeCells count="4">
    <mergeCell ref="A2:I2"/>
    <mergeCell ref="A4:I4"/>
    <mergeCell ref="A28:I28"/>
    <mergeCell ref="A29:I2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4"/>
  <sheetViews>
    <sheetView workbookViewId="0">
      <selection activeCell="D6" sqref="D6"/>
    </sheetView>
  </sheetViews>
  <sheetFormatPr defaultRowHeight="16.5"/>
  <cols>
    <col min="1" max="1" width="3.25" style="11" customWidth="1"/>
    <col min="2" max="2" width="7.125" style="11" customWidth="1"/>
    <col min="3" max="3" width="77.875" style="11" customWidth="1"/>
    <col min="4" max="16384" width="9" style="11"/>
  </cols>
  <sheetData>
    <row r="1" spans="2:3" ht="17.25">
      <c r="B1" s="68"/>
      <c r="C1" s="69"/>
    </row>
    <row r="2" spans="2:3" ht="33" customHeight="1">
      <c r="B2" s="222" t="s">
        <v>108</v>
      </c>
      <c r="C2" s="223"/>
    </row>
    <row r="3" spans="2:3" ht="21" customHeight="1">
      <c r="B3" s="70"/>
      <c r="C3" s="71"/>
    </row>
    <row r="4" spans="2:3" ht="23.25" customHeight="1">
      <c r="B4" s="70"/>
      <c r="C4" s="71"/>
    </row>
    <row r="5" spans="2:3" ht="33" customHeight="1">
      <c r="B5" s="72" t="s">
        <v>109</v>
      </c>
      <c r="C5" s="73" t="s">
        <v>214</v>
      </c>
    </row>
    <row r="6" spans="2:3" ht="21.75" customHeight="1">
      <c r="B6" s="72"/>
      <c r="C6" s="73"/>
    </row>
    <row r="7" spans="2:3" ht="33" customHeight="1">
      <c r="B7" s="72" t="s">
        <v>110</v>
      </c>
      <c r="C7" s="73" t="s">
        <v>136</v>
      </c>
    </row>
    <row r="8" spans="2:3" ht="20.25" customHeight="1">
      <c r="B8" s="72"/>
      <c r="C8" s="73"/>
    </row>
    <row r="9" spans="2:3" ht="33">
      <c r="B9" s="72" t="s">
        <v>111</v>
      </c>
      <c r="C9" s="73" t="s">
        <v>137</v>
      </c>
    </row>
    <row r="10" spans="2:3" ht="20.25" customHeight="1">
      <c r="B10" s="72"/>
      <c r="C10" s="73"/>
    </row>
    <row r="11" spans="2:3" ht="33" customHeight="1">
      <c r="B11" s="72" t="s">
        <v>112</v>
      </c>
      <c r="C11" s="115" t="s">
        <v>113</v>
      </c>
    </row>
    <row r="12" spans="2:3" ht="24.75" customHeight="1">
      <c r="B12" s="74"/>
      <c r="C12" s="73" t="s">
        <v>114</v>
      </c>
    </row>
    <row r="13" spans="2:3" ht="24.75" customHeight="1">
      <c r="B13" s="74"/>
      <c r="C13" s="73" t="s">
        <v>115</v>
      </c>
    </row>
    <row r="14" spans="2:3" ht="24.75" customHeight="1">
      <c r="B14" s="74"/>
      <c r="C14" s="73" t="s">
        <v>116</v>
      </c>
    </row>
    <row r="15" spans="2:3" ht="17.25" customHeight="1">
      <c r="B15" s="70"/>
      <c r="C15" s="71"/>
    </row>
    <row r="16" spans="2:3" ht="33" customHeight="1">
      <c r="B16" s="116" t="s">
        <v>117</v>
      </c>
      <c r="C16" s="89" t="s">
        <v>138</v>
      </c>
    </row>
    <row r="17" spans="2:3" ht="33" customHeight="1">
      <c r="B17" s="75"/>
      <c r="C17" s="89"/>
    </row>
    <row r="18" spans="2:3" ht="2.25" customHeight="1">
      <c r="B18" s="70"/>
      <c r="C18" s="71"/>
    </row>
    <row r="19" spans="2:3" ht="2.25" customHeight="1">
      <c r="B19" s="70"/>
      <c r="C19" s="71"/>
    </row>
    <row r="20" spans="2:3" ht="12" customHeight="1">
      <c r="B20" s="70"/>
      <c r="C20" s="71"/>
    </row>
    <row r="21" spans="2:3" ht="12" customHeight="1">
      <c r="B21" s="70"/>
      <c r="C21" s="71"/>
    </row>
    <row r="22" spans="2:3" ht="12" customHeight="1">
      <c r="B22" s="70"/>
      <c r="C22" s="71"/>
    </row>
    <row r="23" spans="2:3" ht="12" customHeight="1">
      <c r="B23" s="70"/>
      <c r="C23" s="71"/>
    </row>
    <row r="24" spans="2:3" ht="12" customHeight="1">
      <c r="B24" s="70"/>
      <c r="C24" s="71"/>
    </row>
    <row r="25" spans="2:3" ht="12" customHeight="1">
      <c r="B25" s="70"/>
      <c r="C25" s="71"/>
    </row>
    <row r="26" spans="2:3" ht="12" customHeight="1">
      <c r="B26" s="70"/>
      <c r="C26" s="71"/>
    </row>
    <row r="27" spans="2:3" ht="12" customHeight="1">
      <c r="B27" s="70"/>
      <c r="C27" s="71"/>
    </row>
    <row r="28" spans="2:3" ht="12" customHeight="1">
      <c r="B28" s="70"/>
      <c r="C28" s="71"/>
    </row>
    <row r="29" spans="2:3" ht="12" customHeight="1">
      <c r="B29" s="70"/>
      <c r="C29" s="71"/>
    </row>
    <row r="30" spans="2:3" ht="12" customHeight="1">
      <c r="B30" s="70"/>
      <c r="C30" s="71"/>
    </row>
    <row r="31" spans="2:3" ht="12" customHeight="1">
      <c r="B31" s="70"/>
      <c r="C31" s="71"/>
    </row>
    <row r="32" spans="2:3" ht="12" customHeight="1">
      <c r="B32" s="70"/>
      <c r="C32" s="71"/>
    </row>
    <row r="33" spans="2:3" ht="2.25" customHeight="1">
      <c r="B33" s="70"/>
      <c r="C33" s="71"/>
    </row>
    <row r="34" spans="2:3" ht="2.25" customHeight="1" thickBot="1">
      <c r="B34" s="76"/>
      <c r="C34" s="77"/>
    </row>
  </sheetData>
  <mergeCells count="1">
    <mergeCell ref="B2:C2"/>
  </mergeCells>
  <phoneticPr fontId="2" type="noConversion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view="pageBreakPreview" topLeftCell="A22" zoomScale="136" zoomScaleNormal="100" zoomScaleSheetLayoutView="136" workbookViewId="0">
      <selection activeCell="I7" sqref="I7"/>
    </sheetView>
  </sheetViews>
  <sheetFormatPr defaultRowHeight="16.5"/>
  <cols>
    <col min="1" max="1" width="11.875" style="11" customWidth="1"/>
    <col min="2" max="2" width="9.75" style="11" customWidth="1"/>
    <col min="3" max="3" width="10" style="11" customWidth="1"/>
    <col min="4" max="5" width="11.875" style="11" customWidth="1"/>
    <col min="6" max="6" width="10.5" style="11" customWidth="1"/>
    <col min="7" max="7" width="11" style="11" customWidth="1"/>
    <col min="8" max="8" width="11.875" style="11" customWidth="1"/>
    <col min="9" max="16384" width="9" style="11"/>
  </cols>
  <sheetData>
    <row r="1" spans="1:10" ht="26.25">
      <c r="A1" s="238" t="s">
        <v>151</v>
      </c>
      <c r="B1" s="238"/>
      <c r="C1" s="238"/>
      <c r="D1" s="238"/>
      <c r="E1" s="238"/>
      <c r="F1" s="238"/>
      <c r="G1" s="238"/>
      <c r="H1" s="238"/>
    </row>
    <row r="2" spans="1:10" ht="31.5">
      <c r="A2" s="78"/>
      <c r="B2" s="78"/>
      <c r="C2" s="78"/>
      <c r="D2" s="78"/>
      <c r="E2" s="78"/>
      <c r="F2" s="78"/>
      <c r="G2" s="78"/>
      <c r="H2" s="79"/>
    </row>
    <row r="3" spans="1:10" ht="17.25" thickBot="1">
      <c r="A3" s="80"/>
      <c r="B3" s="81"/>
      <c r="C3" s="81"/>
      <c r="D3" s="81"/>
      <c r="E3" s="80"/>
      <c r="F3" s="81"/>
      <c r="G3" s="239" t="s">
        <v>139</v>
      </c>
      <c r="H3" s="239"/>
    </row>
    <row r="4" spans="1:10" ht="25.5" customHeight="1">
      <c r="A4" s="240" t="s">
        <v>118</v>
      </c>
      <c r="B4" s="241"/>
      <c r="C4" s="241"/>
      <c r="D4" s="242"/>
      <c r="E4" s="243" t="s">
        <v>119</v>
      </c>
      <c r="F4" s="241"/>
      <c r="G4" s="241"/>
      <c r="H4" s="244"/>
    </row>
    <row r="5" spans="1:10" ht="25.5" customHeight="1" thickBot="1">
      <c r="A5" s="91" t="s">
        <v>120</v>
      </c>
      <c r="B5" s="188" t="s">
        <v>186</v>
      </c>
      <c r="C5" s="188" t="s">
        <v>185</v>
      </c>
      <c r="D5" s="92" t="s">
        <v>121</v>
      </c>
      <c r="E5" s="90" t="s">
        <v>120</v>
      </c>
      <c r="F5" s="188" t="s">
        <v>186</v>
      </c>
      <c r="G5" s="188" t="s">
        <v>185</v>
      </c>
      <c r="H5" s="93" t="s">
        <v>121</v>
      </c>
    </row>
    <row r="6" spans="1:10" ht="25.5" customHeight="1" thickTop="1">
      <c r="A6" s="245" t="str">
        <f>'(학교회계) 세입 예산서'!C7</f>
        <v>입학금</v>
      </c>
      <c r="B6" s="94">
        <f>'(학교회계) 세입 예산서'!D7</f>
        <v>484710</v>
      </c>
      <c r="C6" s="94">
        <f>'(학교회계) 세입 예산서'!E7</f>
        <v>484710</v>
      </c>
      <c r="D6" s="95">
        <f>B6-C6</f>
        <v>0</v>
      </c>
      <c r="E6" s="232" t="s">
        <v>122</v>
      </c>
      <c r="F6" s="94">
        <f>'(학교회계) 세출 예산서'!D5</f>
        <v>5869700</v>
      </c>
      <c r="G6" s="94">
        <f>'(학교회계) 세출 예산서'!E5</f>
        <v>5051300</v>
      </c>
      <c r="H6" s="96">
        <f t="shared" ref="H6:H22" si="0">F6-G6</f>
        <v>818400</v>
      </c>
    </row>
    <row r="7" spans="1:10" ht="25.5" customHeight="1">
      <c r="A7" s="237"/>
      <c r="B7" s="97">
        <f>B6/B$24</f>
        <v>3.9503319775180464E-2</v>
      </c>
      <c r="C7" s="97">
        <f>C6/C$24</f>
        <v>4.4666804218294984E-2</v>
      </c>
      <c r="D7" s="98">
        <f>D6/D$24</f>
        <v>0</v>
      </c>
      <c r="E7" s="235"/>
      <c r="F7" s="97">
        <f>F6/F$24</f>
        <v>0.47837394748277684</v>
      </c>
      <c r="G7" s="97">
        <f>G6/G$24</f>
        <v>0.46548539982231329</v>
      </c>
      <c r="H7" s="99">
        <f>H6/H$24</f>
        <v>0.57697798614660623</v>
      </c>
    </row>
    <row r="8" spans="1:10" ht="25.5" customHeight="1">
      <c r="A8" s="236" t="str">
        <f>'(학교회계) 세입 예산서'!C8</f>
        <v>수업료</v>
      </c>
      <c r="B8" s="100">
        <f>'(학교회계) 세입 예산서'!D8</f>
        <v>6577065</v>
      </c>
      <c r="C8" s="100">
        <f>'(학교회계) 세입 예산서'!E8</f>
        <v>6158537</v>
      </c>
      <c r="D8" s="101">
        <f>B8-C8</f>
        <v>418528</v>
      </c>
      <c r="E8" s="226" t="s">
        <v>123</v>
      </c>
      <c r="F8" s="100">
        <f>'(학교회계) 세출 예산서'!D25</f>
        <v>2150025</v>
      </c>
      <c r="G8" s="100">
        <f>'(학교회계) 세출 예산서'!E25</f>
        <v>2129025</v>
      </c>
      <c r="H8" s="102">
        <f t="shared" si="0"/>
        <v>21000</v>
      </c>
    </row>
    <row r="9" spans="1:10" ht="25.5" customHeight="1">
      <c r="A9" s="237"/>
      <c r="B9" s="97">
        <f>B8/B$24</f>
        <v>0.53602339930504284</v>
      </c>
      <c r="C9" s="97">
        <f>C8/C$24</f>
        <v>0.56751906593659251</v>
      </c>
      <c r="D9" s="98">
        <f>D8/D$24</f>
        <v>0.29506530130250103</v>
      </c>
      <c r="E9" s="235"/>
      <c r="F9" s="97">
        <f>F8/F$24</f>
        <v>0.17522461904980788</v>
      </c>
      <c r="G9" s="97">
        <f>G8/G$24</f>
        <v>0.19619306977544404</v>
      </c>
      <c r="H9" s="99">
        <f>H8/H$24</f>
        <v>1.4805153603468636E-2</v>
      </c>
    </row>
    <row r="10" spans="1:10" ht="25.5" customHeight="1">
      <c r="A10" s="236" t="str">
        <f>'(학교회계) 세입 예산서'!B15</f>
        <v>수익자부담경비</v>
      </c>
      <c r="B10" s="100">
        <f>'(학교회계) 세입 예산서'!D15</f>
        <v>1086965</v>
      </c>
      <c r="C10" s="100">
        <f>'(학교회계) 세입 예산서'!E15</f>
        <v>1014225</v>
      </c>
      <c r="D10" s="101">
        <f>B10-C10</f>
        <v>72740</v>
      </c>
      <c r="E10" s="224" t="s">
        <v>124</v>
      </c>
      <c r="F10" s="103">
        <f>'(학교회계) 세출 예산서'!D46</f>
        <v>710321</v>
      </c>
      <c r="G10" s="103">
        <f>'(학교회계) 세출 예산서'!E46</f>
        <v>649377</v>
      </c>
      <c r="H10" s="102">
        <f t="shared" si="0"/>
        <v>60944</v>
      </c>
    </row>
    <row r="11" spans="1:10" ht="25.5" customHeight="1">
      <c r="A11" s="237"/>
      <c r="B11" s="97">
        <f>B10/B$24</f>
        <v>8.858642483016449E-2</v>
      </c>
      <c r="C11" s="97">
        <f>C10/C$24</f>
        <v>9.346246107631416E-2</v>
      </c>
      <c r="D11" s="98">
        <f>D10/D$24</f>
        <v>5.1282232053157552E-2</v>
      </c>
      <c r="E11" s="225"/>
      <c r="F11" s="97">
        <f>F10/F$24</f>
        <v>5.789036249721681E-2</v>
      </c>
      <c r="G11" s="97">
        <f>G10/G$24</f>
        <v>5.9841132476870181E-2</v>
      </c>
      <c r="H11" s="99">
        <f>H10/H$24</f>
        <v>4.2965965771894883E-2</v>
      </c>
    </row>
    <row r="12" spans="1:10" ht="25.5" customHeight="1">
      <c r="A12" s="236" t="s">
        <v>12</v>
      </c>
      <c r="B12" s="103">
        <f>'(학교회계) 세입 예산서'!D30</f>
        <v>2620181</v>
      </c>
      <c r="C12" s="103">
        <f>'(학교회계) 세입 예산서'!E30</f>
        <v>2478711</v>
      </c>
      <c r="D12" s="101">
        <f>B12-C12</f>
        <v>141470</v>
      </c>
      <c r="E12" s="226" t="s">
        <v>56</v>
      </c>
      <c r="F12" s="103">
        <f>'(학교회계) 세출 예산서'!D78</f>
        <v>234419</v>
      </c>
      <c r="G12" s="103">
        <f>'(학교회계) 세출 예산서'!E78</f>
        <v>258649</v>
      </c>
      <c r="H12" s="189">
        <f t="shared" si="0"/>
        <v>-24230</v>
      </c>
    </row>
    <row r="13" spans="1:10" ht="25.5" customHeight="1">
      <c r="A13" s="237"/>
      <c r="B13" s="97">
        <f>B12/B$24</f>
        <v>0.21354180419601848</v>
      </c>
      <c r="C13" s="97">
        <f>C12/C$24</f>
        <v>0.22841719574742461</v>
      </c>
      <c r="D13" s="98">
        <f>D12/D$24</f>
        <v>9.9737384775367047E-2</v>
      </c>
      <c r="E13" s="235"/>
      <c r="F13" s="97">
        <f>F12/F$24</f>
        <v>1.9104884814379792E-2</v>
      </c>
      <c r="G13" s="97">
        <f>G12/G$24</f>
        <v>2.383492035290747E-2</v>
      </c>
      <c r="H13" s="99">
        <f>H12/H$24</f>
        <v>-1.7082327229145003E-2</v>
      </c>
    </row>
    <row r="14" spans="1:10" ht="25.5" customHeight="1">
      <c r="A14" s="236" t="s">
        <v>134</v>
      </c>
      <c r="B14" s="103">
        <f>'(학교회계) 세입 예산서'!D43</f>
        <v>35500</v>
      </c>
      <c r="C14" s="103">
        <f>'(학교회계) 세입 예산서'!E43</f>
        <v>15500</v>
      </c>
      <c r="D14" s="101">
        <f>B14-C14</f>
        <v>20000</v>
      </c>
      <c r="E14" s="226" t="s">
        <v>57</v>
      </c>
      <c r="F14" s="103">
        <f>'(학교회계) 세출 예산서'!D95</f>
        <v>52270</v>
      </c>
      <c r="G14" s="103">
        <f>'(학교회계) 세출 예산서'!E95</f>
        <v>52270</v>
      </c>
      <c r="H14" s="102">
        <f t="shared" si="0"/>
        <v>0</v>
      </c>
    </row>
    <row r="15" spans="1:10" ht="25.5" customHeight="1">
      <c r="A15" s="237"/>
      <c r="B15" s="97">
        <f>B14/B$24</f>
        <v>2.8932100679146425E-3</v>
      </c>
      <c r="C15" s="97">
        <f>C14/C$24</f>
        <v>1.4283498697851753E-3</v>
      </c>
      <c r="D15" s="98">
        <f>D14/D$24</f>
        <v>1.4100146289017748E-2</v>
      </c>
      <c r="E15" s="235"/>
      <c r="F15" s="97">
        <f>F14/F$24</f>
        <v>4.2599462042224893E-3</v>
      </c>
      <c r="G15" s="97">
        <f>G14/G$24</f>
        <v>4.8167643673336204E-3</v>
      </c>
      <c r="H15" s="99">
        <f>H14/H$24</f>
        <v>0</v>
      </c>
      <c r="J15" s="114"/>
    </row>
    <row r="16" spans="1:10" ht="25.5" customHeight="1">
      <c r="A16" s="236" t="s">
        <v>133</v>
      </c>
      <c r="B16" s="103">
        <v>0</v>
      </c>
      <c r="C16" s="103">
        <f>'[1]총세입(2017)'!D59</f>
        <v>0</v>
      </c>
      <c r="D16" s="101">
        <f>B16-C16</f>
        <v>0</v>
      </c>
      <c r="E16" s="226" t="s">
        <v>125</v>
      </c>
      <c r="F16" s="103">
        <f>'(학교회계) 세출 예산서'!D97</f>
        <v>674500</v>
      </c>
      <c r="G16" s="103">
        <f>'(학교회계) 세출 예산서'!E97</f>
        <v>1321800</v>
      </c>
      <c r="H16" s="189">
        <f t="shared" si="0"/>
        <v>-647300</v>
      </c>
    </row>
    <row r="17" spans="1:12" ht="25.5" customHeight="1">
      <c r="A17" s="237"/>
      <c r="B17" s="97">
        <f>B16/B$24</f>
        <v>0</v>
      </c>
      <c r="C17" s="97">
        <f>C16/C$24</f>
        <v>0</v>
      </c>
      <c r="D17" s="98">
        <f>D16/D$24</f>
        <v>0</v>
      </c>
      <c r="E17" s="235"/>
      <c r="F17" s="97">
        <f>F16/F$24</f>
        <v>5.4970991290378211E-2</v>
      </c>
      <c r="G17" s="97">
        <f>G16/G$24</f>
        <v>0.12180599083109965</v>
      </c>
      <c r="H17" s="99">
        <f>H16/H$24</f>
        <v>-0.45635123464405941</v>
      </c>
    </row>
    <row r="18" spans="1:12" ht="25.5" customHeight="1">
      <c r="A18" s="228" t="s">
        <v>36</v>
      </c>
      <c r="B18" s="103">
        <v>0</v>
      </c>
      <c r="C18" s="103">
        <v>0</v>
      </c>
      <c r="D18" s="101">
        <f>B18-C18</f>
        <v>0</v>
      </c>
      <c r="E18" s="226" t="s">
        <v>9</v>
      </c>
      <c r="F18" s="103">
        <f>'(학교회계) 세출 예산서'!D114</f>
        <v>1124802</v>
      </c>
      <c r="G18" s="103">
        <f>'(학교회계) 세출 예산서'!E114</f>
        <v>1053262</v>
      </c>
      <c r="H18" s="102">
        <f>F18-G18</f>
        <v>71540</v>
      </c>
    </row>
    <row r="19" spans="1:12" ht="25.5" customHeight="1">
      <c r="A19" s="234"/>
      <c r="B19" s="97">
        <f>B18/B$24</f>
        <v>0</v>
      </c>
      <c r="C19" s="97">
        <f>C18/C$24</f>
        <v>0</v>
      </c>
      <c r="D19" s="98">
        <f>D18/D$24</f>
        <v>0</v>
      </c>
      <c r="E19" s="235"/>
      <c r="F19" s="97">
        <f>F18/F$24</f>
        <v>9.1670097769310593E-2</v>
      </c>
      <c r="G19" s="97">
        <f>G18/G$24</f>
        <v>9.7059783261269239E-2</v>
      </c>
      <c r="H19" s="99">
        <f>H18/H$24</f>
        <v>5.043622327581649E-2</v>
      </c>
    </row>
    <row r="20" spans="1:12" ht="25.5" customHeight="1">
      <c r="A20" s="228" t="s">
        <v>132</v>
      </c>
      <c r="B20" s="103">
        <v>0</v>
      </c>
      <c r="C20" s="103">
        <v>0</v>
      </c>
      <c r="D20" s="101">
        <f>B20-C20</f>
        <v>0</v>
      </c>
      <c r="E20" s="224" t="s">
        <v>36</v>
      </c>
      <c r="F20" s="103">
        <f>'(학교회계) 세출 예산서'!D130</f>
        <v>336000</v>
      </c>
      <c r="G20" s="103">
        <f>'(학교회계) 세출 예산서'!E130</f>
        <v>336000</v>
      </c>
      <c r="H20" s="102">
        <f t="shared" si="0"/>
        <v>0</v>
      </c>
    </row>
    <row r="21" spans="1:12" ht="25.5" customHeight="1">
      <c r="A21" s="234"/>
      <c r="B21" s="97">
        <f>B20/B$24</f>
        <v>0</v>
      </c>
      <c r="C21" s="97">
        <f>C20/C$24</f>
        <v>0</v>
      </c>
      <c r="D21" s="98">
        <f>D20/D$24</f>
        <v>0</v>
      </c>
      <c r="E21" s="225"/>
      <c r="F21" s="97">
        <f>F20/F$24</f>
        <v>2.738362205124845E-2</v>
      </c>
      <c r="G21" s="97">
        <f>G20/G$24</f>
        <v>3.0962939112762509E-2</v>
      </c>
      <c r="H21" s="99">
        <f>H20/H$24</f>
        <v>0</v>
      </c>
    </row>
    <row r="22" spans="1:12" ht="25.5" customHeight="1">
      <c r="A22" s="228" t="s">
        <v>44</v>
      </c>
      <c r="B22" s="103">
        <f>'(학교회계) 세입 예산서'!D70</f>
        <v>1465687</v>
      </c>
      <c r="C22" s="103">
        <f>'(학교회계) 세입 예산서'!E69</f>
        <v>700000</v>
      </c>
      <c r="D22" s="101">
        <f>B22-C22</f>
        <v>765687</v>
      </c>
      <c r="E22" s="226" t="s">
        <v>126</v>
      </c>
      <c r="F22" s="103">
        <f>'(학교회계) 세출 예산서'!D136+'(학교회계) 세출 예산서'!D147</f>
        <v>1118071</v>
      </c>
      <c r="G22" s="103">
        <f>'(학교회계) 세출 예산서'!E136</f>
        <v>0</v>
      </c>
      <c r="H22" s="102">
        <f t="shared" si="0"/>
        <v>1118071</v>
      </c>
    </row>
    <row r="23" spans="1:12" ht="25.5" customHeight="1" thickBot="1">
      <c r="A23" s="229"/>
      <c r="B23" s="104">
        <f>B22/B$24</f>
        <v>0.11945184182567913</v>
      </c>
      <c r="C23" s="104">
        <f>C22/C$24</f>
        <v>6.450612315158856E-2</v>
      </c>
      <c r="D23" s="105">
        <f>D22/D$24</f>
        <v>0.53981493557995663</v>
      </c>
      <c r="E23" s="227"/>
      <c r="F23" s="104">
        <f>F22/F$24</f>
        <v>9.1121528840658939E-2</v>
      </c>
      <c r="G23" s="104">
        <f>G22/G$24</f>
        <v>0</v>
      </c>
      <c r="H23" s="106">
        <f>H22/H$24</f>
        <v>0.78824823307541814</v>
      </c>
      <c r="L23" s="11" t="s">
        <v>127</v>
      </c>
    </row>
    <row r="24" spans="1:12" ht="25.5" customHeight="1" thickTop="1">
      <c r="A24" s="230" t="s">
        <v>128</v>
      </c>
      <c r="B24" s="107">
        <f t="shared" ref="B24:D25" si="1">SUM(B6,B8,B10,B12,B14,B16,B18,B20,B22)</f>
        <v>12270108</v>
      </c>
      <c r="C24" s="107">
        <f t="shared" si="1"/>
        <v>10851683</v>
      </c>
      <c r="D24" s="108">
        <f t="shared" si="1"/>
        <v>1418425</v>
      </c>
      <c r="E24" s="232" t="s">
        <v>128</v>
      </c>
      <c r="F24" s="107">
        <f>SUM(F6,F8,F10,F12,F14,F16,F18,F20,F22)</f>
        <v>12270108</v>
      </c>
      <c r="G24" s="107">
        <f>SUM(G6,G8,G10,G12,G14,G16,G18,G20,G22)</f>
        <v>10851683</v>
      </c>
      <c r="H24" s="109">
        <f t="shared" ref="F24:H25" si="2">SUM(H6,H8,H10,H12,H14,H16,H18,H20,H22)</f>
        <v>1418425</v>
      </c>
      <c r="I24" s="11" t="s">
        <v>127</v>
      </c>
      <c r="J24" s="82">
        <f>C24-G24</f>
        <v>0</v>
      </c>
    </row>
    <row r="25" spans="1:12" ht="25.5" customHeight="1" thickBot="1">
      <c r="A25" s="231"/>
      <c r="B25" s="110">
        <f t="shared" si="1"/>
        <v>1</v>
      </c>
      <c r="C25" s="110">
        <f t="shared" si="1"/>
        <v>0.99999999999999989</v>
      </c>
      <c r="D25" s="111">
        <f t="shared" si="1"/>
        <v>1</v>
      </c>
      <c r="E25" s="233"/>
      <c r="F25" s="110">
        <f t="shared" si="2"/>
        <v>1</v>
      </c>
      <c r="G25" s="110">
        <f t="shared" si="2"/>
        <v>0.99999999999999989</v>
      </c>
      <c r="H25" s="112">
        <f t="shared" si="2"/>
        <v>1</v>
      </c>
    </row>
    <row r="26" spans="1:12" ht="103.5" customHeight="1">
      <c r="A26" s="83"/>
      <c r="B26" s="84"/>
      <c r="C26" s="84"/>
      <c r="D26" s="85"/>
      <c r="E26" s="83"/>
      <c r="F26" s="84"/>
      <c r="G26" s="84"/>
      <c r="H26" s="85"/>
    </row>
    <row r="27" spans="1:12">
      <c r="A27" s="83"/>
      <c r="B27" s="84"/>
      <c r="C27" s="84"/>
      <c r="D27" s="85"/>
      <c r="E27" s="83"/>
      <c r="F27" s="84"/>
      <c r="G27" s="84"/>
      <c r="H27" s="85"/>
    </row>
    <row r="28" spans="1:12">
      <c r="A28" s="83"/>
      <c r="B28" s="84"/>
      <c r="C28" s="84"/>
      <c r="D28" s="85"/>
      <c r="E28" s="83"/>
      <c r="F28" s="84"/>
      <c r="G28" s="84"/>
      <c r="H28" s="85"/>
    </row>
    <row r="29" spans="1:12">
      <c r="A29" s="83"/>
      <c r="B29" s="84"/>
      <c r="C29" s="84"/>
      <c r="D29" s="85"/>
      <c r="E29" s="83"/>
      <c r="F29" s="84"/>
      <c r="G29" s="84"/>
      <c r="H29" s="85"/>
    </row>
    <row r="30" spans="1:12">
      <c r="A30" s="83"/>
      <c r="B30" s="84"/>
      <c r="C30" s="84"/>
      <c r="D30" s="85"/>
      <c r="E30" s="83"/>
      <c r="F30" s="84"/>
      <c r="G30" s="84"/>
      <c r="H30" s="85"/>
    </row>
    <row r="31" spans="1:12">
      <c r="A31" s="83"/>
      <c r="B31" s="84"/>
      <c r="C31" s="84" t="s">
        <v>127</v>
      </c>
      <c r="D31" s="85"/>
      <c r="E31" s="83"/>
      <c r="F31" s="84"/>
      <c r="G31" s="84"/>
      <c r="H31" s="85"/>
    </row>
    <row r="32" spans="1:12">
      <c r="A32" s="86"/>
      <c r="B32" s="86"/>
      <c r="C32" s="86"/>
      <c r="D32" s="86"/>
      <c r="E32" s="86"/>
      <c r="F32" s="86"/>
      <c r="G32" s="86"/>
      <c r="H32" s="87"/>
    </row>
    <row r="33" spans="1:8">
      <c r="A33" s="80"/>
      <c r="B33" s="81"/>
      <c r="C33" s="81"/>
      <c r="D33" s="81"/>
      <c r="E33" s="80"/>
      <c r="F33" s="81"/>
      <c r="G33" s="81"/>
      <c r="H33" s="88"/>
    </row>
  </sheetData>
  <mergeCells count="24">
    <mergeCell ref="A8:A9"/>
    <mergeCell ref="A1:H1"/>
    <mergeCell ref="G3:H3"/>
    <mergeCell ref="A4:D4"/>
    <mergeCell ref="E4:H4"/>
    <mergeCell ref="A6:A7"/>
    <mergeCell ref="E6:E7"/>
    <mergeCell ref="E8:E9"/>
    <mergeCell ref="E16:E17"/>
    <mergeCell ref="E18:E19"/>
    <mergeCell ref="A10:A11"/>
    <mergeCell ref="A12:A13"/>
    <mergeCell ref="A14:A15"/>
    <mergeCell ref="A16:A17"/>
    <mergeCell ref="A18:A19"/>
    <mergeCell ref="E10:E11"/>
    <mergeCell ref="E12:E13"/>
    <mergeCell ref="E14:E15"/>
    <mergeCell ref="E20:E21"/>
    <mergeCell ref="E22:E23"/>
    <mergeCell ref="A22:A23"/>
    <mergeCell ref="A24:A25"/>
    <mergeCell ref="E24:E25"/>
    <mergeCell ref="A20:A21"/>
  </mergeCells>
  <phoneticPr fontId="2" type="noConversion"/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H74"/>
  <sheetViews>
    <sheetView topLeftCell="D16" zoomScale="115" zoomScaleNormal="115" zoomScaleSheetLayoutView="118" workbookViewId="0">
      <selection activeCell="I7" sqref="I7"/>
    </sheetView>
  </sheetViews>
  <sheetFormatPr defaultRowHeight="16.5"/>
  <cols>
    <col min="1" max="2" width="2.625" style="1" customWidth="1"/>
    <col min="3" max="3" width="20.625" style="2" customWidth="1"/>
    <col min="4" max="5" width="17.875" style="3" bestFit="1" customWidth="1"/>
    <col min="6" max="6" width="15.75" style="3" bestFit="1" customWidth="1"/>
    <col min="7" max="7" width="47" style="4" customWidth="1"/>
    <col min="8" max="8" width="17.875" style="4" bestFit="1" customWidth="1"/>
  </cols>
  <sheetData>
    <row r="1" spans="1:8" ht="33.75">
      <c r="A1" s="246" t="s">
        <v>199</v>
      </c>
      <c r="B1" s="247"/>
      <c r="C1" s="247"/>
      <c r="D1" s="247"/>
      <c r="E1" s="247"/>
      <c r="F1" s="247"/>
      <c r="G1" s="247"/>
      <c r="H1" s="247"/>
    </row>
    <row r="2" spans="1:8" ht="17.25" thickBot="1">
      <c r="A2" s="5"/>
      <c r="B2" s="6"/>
      <c r="C2" s="5"/>
      <c r="D2" s="1"/>
      <c r="E2" s="1"/>
      <c r="F2" s="1"/>
      <c r="G2" s="7"/>
      <c r="H2" s="7"/>
    </row>
    <row r="3" spans="1:8" ht="16.5" customHeight="1">
      <c r="A3" s="37" t="s">
        <v>0</v>
      </c>
      <c r="B3" s="38"/>
      <c r="C3" s="38"/>
      <c r="D3" s="117" t="s">
        <v>142</v>
      </c>
      <c r="E3" s="117" t="s">
        <v>143</v>
      </c>
      <c r="F3" s="117" t="s">
        <v>60</v>
      </c>
      <c r="G3" s="248" t="s">
        <v>61</v>
      </c>
      <c r="H3" s="250" t="s">
        <v>212</v>
      </c>
    </row>
    <row r="4" spans="1:8">
      <c r="A4" s="40" t="s">
        <v>1</v>
      </c>
      <c r="B4" s="16" t="s">
        <v>2</v>
      </c>
      <c r="C4" s="16" t="s">
        <v>3</v>
      </c>
      <c r="D4" s="118" t="s">
        <v>144</v>
      </c>
      <c r="E4" s="118" t="s">
        <v>145</v>
      </c>
      <c r="F4" s="118" t="s">
        <v>146</v>
      </c>
      <c r="G4" s="249"/>
      <c r="H4" s="251"/>
    </row>
    <row r="5" spans="1:8">
      <c r="A5" s="41" t="s">
        <v>4</v>
      </c>
      <c r="B5" s="18"/>
      <c r="C5" s="18"/>
      <c r="D5" s="121">
        <f>SUM(D6,D13,D15)</f>
        <v>8148740</v>
      </c>
      <c r="E5" s="121">
        <v>7657472</v>
      </c>
      <c r="F5" s="121">
        <f>D5-E5</f>
        <v>491268</v>
      </c>
      <c r="G5" s="20"/>
      <c r="H5" s="42"/>
    </row>
    <row r="6" spans="1:8">
      <c r="A6" s="43"/>
      <c r="B6" s="21" t="s">
        <v>5</v>
      </c>
      <c r="C6" s="21"/>
      <c r="D6" s="122">
        <f>SUM(D7:D8)</f>
        <v>7061775</v>
      </c>
      <c r="E6" s="122">
        <f t="shared" ref="E6:F6" si="0">SUM(E7:E8)</f>
        <v>6643247</v>
      </c>
      <c r="F6" s="122">
        <f t="shared" si="0"/>
        <v>418528</v>
      </c>
      <c r="G6" s="31"/>
      <c r="H6" s="50"/>
    </row>
    <row r="7" spans="1:8">
      <c r="A7" s="43"/>
      <c r="B7" s="24"/>
      <c r="C7" s="51" t="s">
        <v>6</v>
      </c>
      <c r="D7" s="123">
        <f>E7+F7</f>
        <v>484710</v>
      </c>
      <c r="E7" s="123">
        <v>484710</v>
      </c>
      <c r="F7" s="123">
        <v>0</v>
      </c>
      <c r="G7" s="52"/>
      <c r="H7" s="119"/>
    </row>
    <row r="8" spans="1:8">
      <c r="A8" s="43"/>
      <c r="B8" s="24"/>
      <c r="C8" s="24" t="s">
        <v>7</v>
      </c>
      <c r="D8" s="124">
        <f>E8+F8</f>
        <v>6577065</v>
      </c>
      <c r="E8" s="124">
        <v>6158537</v>
      </c>
      <c r="F8" s="124">
        <f>H12</f>
        <v>418528</v>
      </c>
      <c r="G8" s="195" t="s">
        <v>209</v>
      </c>
      <c r="H8" s="196">
        <f>710501-699041</f>
        <v>11460</v>
      </c>
    </row>
    <row r="9" spans="1:8">
      <c r="A9" s="43"/>
      <c r="B9" s="24"/>
      <c r="C9" s="24"/>
      <c r="D9" s="124"/>
      <c r="E9" s="124"/>
      <c r="F9" s="124"/>
      <c r="G9" s="195" t="s">
        <v>187</v>
      </c>
      <c r="H9" s="196">
        <f>3017653-2777202</f>
        <v>240451</v>
      </c>
    </row>
    <row r="10" spans="1:8">
      <c r="A10" s="43"/>
      <c r="B10" s="24"/>
      <c r="C10" s="24"/>
      <c r="D10" s="124"/>
      <c r="E10" s="124"/>
      <c r="F10" s="124"/>
      <c r="G10" s="195" t="s">
        <v>188</v>
      </c>
      <c r="H10" s="196">
        <f>842340-825149</f>
        <v>17191</v>
      </c>
    </row>
    <row r="11" spans="1:8">
      <c r="A11" s="43"/>
      <c r="B11" s="24"/>
      <c r="C11" s="24"/>
      <c r="D11" s="124"/>
      <c r="E11" s="124"/>
      <c r="F11" s="124"/>
      <c r="G11" s="197" t="s">
        <v>239</v>
      </c>
      <c r="H11" s="198">
        <f>2006571-1857145</f>
        <v>149426</v>
      </c>
    </row>
    <row r="12" spans="1:8">
      <c r="A12" s="43"/>
      <c r="B12" s="24"/>
      <c r="C12" s="54"/>
      <c r="D12" s="125"/>
      <c r="E12" s="125"/>
      <c r="F12" s="125"/>
      <c r="G12" s="53" t="s">
        <v>58</v>
      </c>
      <c r="H12" s="131">
        <f>SUM(H8:H11)</f>
        <v>418528</v>
      </c>
    </row>
    <row r="13" spans="1:8">
      <c r="A13" s="43"/>
      <c r="B13" s="29" t="s">
        <v>8</v>
      </c>
      <c r="C13" s="29"/>
      <c r="D13" s="122">
        <f>SUM(D14)</f>
        <v>0</v>
      </c>
      <c r="E13" s="122">
        <v>0</v>
      </c>
      <c r="F13" s="122">
        <f t="shared" ref="F13:F53" si="1">D13-E13</f>
        <v>0</v>
      </c>
      <c r="G13" s="31"/>
      <c r="H13" s="132"/>
    </row>
    <row r="14" spans="1:8">
      <c r="A14" s="43"/>
      <c r="B14" s="24"/>
      <c r="C14" s="55" t="s">
        <v>8</v>
      </c>
      <c r="D14" s="126">
        <v>0</v>
      </c>
      <c r="E14" s="126">
        <v>0</v>
      </c>
      <c r="F14" s="126">
        <f t="shared" si="1"/>
        <v>0</v>
      </c>
      <c r="G14" s="32"/>
      <c r="H14" s="130"/>
    </row>
    <row r="15" spans="1:8">
      <c r="A15" s="43"/>
      <c r="B15" s="29" t="s">
        <v>9</v>
      </c>
      <c r="C15" s="29"/>
      <c r="D15" s="122">
        <f>SUM(D16:D28)</f>
        <v>1086965</v>
      </c>
      <c r="E15" s="122">
        <f>SUM(E16:E28)</f>
        <v>1014225</v>
      </c>
      <c r="F15" s="122">
        <f>SUM(F16:F28)</f>
        <v>72740</v>
      </c>
      <c r="G15" s="23"/>
      <c r="H15" s="133"/>
    </row>
    <row r="16" spans="1:8">
      <c r="A16" s="43"/>
      <c r="B16" s="24"/>
      <c r="C16" s="51" t="s">
        <v>10</v>
      </c>
      <c r="D16" s="123">
        <f>E16+F16</f>
        <v>668645</v>
      </c>
      <c r="E16" s="123">
        <v>663465</v>
      </c>
      <c r="F16" s="123">
        <f>H20</f>
        <v>5180</v>
      </c>
      <c r="G16" s="199" t="s">
        <v>189</v>
      </c>
      <c r="H16" s="194">
        <f>57350-59200</f>
        <v>-1850</v>
      </c>
    </row>
    <row r="17" spans="1:8">
      <c r="A17" s="43"/>
      <c r="B17" s="24"/>
      <c r="C17" s="24"/>
      <c r="D17" s="124"/>
      <c r="E17" s="124"/>
      <c r="F17" s="124"/>
      <c r="G17" s="200" t="s">
        <v>190</v>
      </c>
      <c r="H17" s="196">
        <f>278610-281940</f>
        <v>-3330</v>
      </c>
    </row>
    <row r="18" spans="1:8">
      <c r="A18" s="43"/>
      <c r="B18" s="24"/>
      <c r="C18" s="24"/>
      <c r="D18" s="124"/>
      <c r="E18" s="124"/>
      <c r="F18" s="124"/>
      <c r="G18" s="200" t="s">
        <v>191</v>
      </c>
      <c r="H18" s="196">
        <f>63455-62160</f>
        <v>1295</v>
      </c>
    </row>
    <row r="19" spans="1:8">
      <c r="A19" s="43"/>
      <c r="B19" s="24"/>
      <c r="C19" s="24"/>
      <c r="D19" s="124"/>
      <c r="E19" s="124"/>
      <c r="F19" s="124"/>
      <c r="G19" s="200" t="s">
        <v>192</v>
      </c>
      <c r="H19" s="196">
        <f>121730-112665</f>
        <v>9065</v>
      </c>
    </row>
    <row r="20" spans="1:8">
      <c r="A20" s="43"/>
      <c r="B20" s="24"/>
      <c r="C20" s="24"/>
      <c r="D20" s="124"/>
      <c r="E20" s="124"/>
      <c r="F20" s="124"/>
      <c r="G20" s="53" t="s">
        <v>58</v>
      </c>
      <c r="H20" s="131">
        <f>SUM(H16:H19)</f>
        <v>5180</v>
      </c>
    </row>
    <row r="21" spans="1:8">
      <c r="A21" s="43"/>
      <c r="B21" s="24"/>
      <c r="C21" s="179" t="s">
        <v>179</v>
      </c>
      <c r="D21" s="124">
        <f>E21+F21</f>
        <v>92000</v>
      </c>
      <c r="E21" s="124">
        <v>92000</v>
      </c>
      <c r="F21" s="124">
        <v>0</v>
      </c>
      <c r="G21" s="52"/>
      <c r="H21" s="119"/>
    </row>
    <row r="22" spans="1:8">
      <c r="A22" s="43"/>
      <c r="B22" s="24"/>
      <c r="C22" s="24" t="s">
        <v>11</v>
      </c>
      <c r="D22" s="124">
        <f>E22+F22</f>
        <v>290620</v>
      </c>
      <c r="E22" s="124">
        <v>224260</v>
      </c>
      <c r="F22" s="124">
        <f>H26</f>
        <v>66360</v>
      </c>
      <c r="G22" s="195" t="s">
        <v>193</v>
      </c>
      <c r="H22" s="196">
        <f>4960-5120</f>
        <v>-160</v>
      </c>
    </row>
    <row r="23" spans="1:8">
      <c r="A23" s="43"/>
      <c r="B23" s="24"/>
      <c r="C23" s="24"/>
      <c r="D23" s="124"/>
      <c r="E23" s="124"/>
      <c r="F23" s="124"/>
      <c r="G23" s="195" t="s">
        <v>194</v>
      </c>
      <c r="H23" s="196">
        <f>40160-40640</f>
        <v>-480</v>
      </c>
    </row>
    <row r="24" spans="1:8" s="9" customFormat="1">
      <c r="A24" s="43"/>
      <c r="B24" s="24"/>
      <c r="C24" s="24"/>
      <c r="D24" s="124"/>
      <c r="E24" s="124"/>
      <c r="F24" s="124"/>
      <c r="G24" s="195" t="s">
        <v>195</v>
      </c>
      <c r="H24" s="196">
        <f>98000-48000</f>
        <v>50000</v>
      </c>
    </row>
    <row r="25" spans="1:8" s="9" customFormat="1">
      <c r="A25" s="43"/>
      <c r="B25" s="24"/>
      <c r="C25" s="24"/>
      <c r="D25" s="124"/>
      <c r="E25" s="124"/>
      <c r="F25" s="124"/>
      <c r="G25" s="197" t="s">
        <v>178</v>
      </c>
      <c r="H25" s="198">
        <f>147500-130500</f>
        <v>17000</v>
      </c>
    </row>
    <row r="26" spans="1:8">
      <c r="A26" s="43"/>
      <c r="B26" s="24"/>
      <c r="C26" s="24"/>
      <c r="D26" s="124"/>
      <c r="E26" s="124"/>
      <c r="F26" s="124"/>
      <c r="G26" s="53" t="s">
        <v>58</v>
      </c>
      <c r="H26" s="131">
        <f>SUM(H22:H25)</f>
        <v>66360</v>
      </c>
    </row>
    <row r="27" spans="1:8">
      <c r="A27" s="43"/>
      <c r="B27" s="24"/>
      <c r="C27" s="179" t="s">
        <v>181</v>
      </c>
      <c r="D27" s="124">
        <f>E27+F27</f>
        <v>7500</v>
      </c>
      <c r="E27" s="124">
        <v>7500</v>
      </c>
      <c r="F27" s="124">
        <v>0</v>
      </c>
      <c r="G27" s="203"/>
      <c r="H27" s="119"/>
    </row>
    <row r="28" spans="1:8">
      <c r="A28" s="43"/>
      <c r="B28" s="24"/>
      <c r="C28" s="179" t="s">
        <v>183</v>
      </c>
      <c r="D28" s="124">
        <f>E28+F28</f>
        <v>28200</v>
      </c>
      <c r="E28" s="124">
        <v>27000</v>
      </c>
      <c r="F28" s="124">
        <f>H29</f>
        <v>1200</v>
      </c>
      <c r="G28" s="197" t="s">
        <v>148</v>
      </c>
      <c r="H28" s="198">
        <v>1200</v>
      </c>
    </row>
    <row r="29" spans="1:8" s="11" customFormat="1">
      <c r="A29" s="43"/>
      <c r="B29" s="24"/>
      <c r="C29" s="54"/>
      <c r="D29" s="125"/>
      <c r="E29" s="125"/>
      <c r="F29" s="125"/>
      <c r="G29" s="53" t="s">
        <v>58</v>
      </c>
      <c r="H29" s="131">
        <f>SUM(H28:H28)</f>
        <v>1200</v>
      </c>
    </row>
    <row r="30" spans="1:8">
      <c r="A30" s="41" t="s">
        <v>12</v>
      </c>
      <c r="B30" s="18"/>
      <c r="C30" s="18"/>
      <c r="D30" s="121">
        <f>SUM(D31,D39,D41)</f>
        <v>2620181</v>
      </c>
      <c r="E30" s="121">
        <v>2478711</v>
      </c>
      <c r="F30" s="121">
        <f t="shared" si="1"/>
        <v>141470</v>
      </c>
      <c r="G30" s="56"/>
      <c r="H30" s="134"/>
    </row>
    <row r="31" spans="1:8">
      <c r="A31" s="43"/>
      <c r="B31" s="21" t="s">
        <v>13</v>
      </c>
      <c r="C31" s="21"/>
      <c r="D31" s="122">
        <f>E31+F31</f>
        <v>2580181</v>
      </c>
      <c r="E31" s="122">
        <f t="shared" ref="E31:F31" si="2">SUM(E32:E38)</f>
        <v>2438711</v>
      </c>
      <c r="F31" s="122">
        <f t="shared" si="2"/>
        <v>141470</v>
      </c>
      <c r="G31" s="31"/>
      <c r="H31" s="132"/>
    </row>
    <row r="32" spans="1:8">
      <c r="A32" s="43"/>
      <c r="B32" s="24"/>
      <c r="C32" s="51" t="s">
        <v>14</v>
      </c>
      <c r="D32" s="123">
        <f>E32+F32</f>
        <v>1308432</v>
      </c>
      <c r="E32" s="123">
        <v>1205184</v>
      </c>
      <c r="F32" s="123">
        <f>H32</f>
        <v>103248</v>
      </c>
      <c r="G32" s="193" t="s">
        <v>196</v>
      </c>
      <c r="H32" s="194">
        <f>1308432-1205184</f>
        <v>103248</v>
      </c>
    </row>
    <row r="33" spans="1:8">
      <c r="A33" s="43"/>
      <c r="B33" s="24"/>
      <c r="C33" s="24" t="s">
        <v>16</v>
      </c>
      <c r="D33" s="124">
        <f>E33+F33</f>
        <v>673848</v>
      </c>
      <c r="E33" s="124">
        <v>602296</v>
      </c>
      <c r="F33" s="124">
        <f>H33</f>
        <v>71552</v>
      </c>
      <c r="G33" s="195" t="s">
        <v>197</v>
      </c>
      <c r="H33" s="196">
        <f>673848-602296</f>
        <v>71552</v>
      </c>
    </row>
    <row r="34" spans="1:8">
      <c r="A34" s="43"/>
      <c r="B34" s="24"/>
      <c r="C34" s="24" t="s">
        <v>17</v>
      </c>
      <c r="D34" s="127" t="str">
        <f t="shared" ref="D34" si="3">H34</f>
        <v>-</v>
      </c>
      <c r="E34" s="127" t="s">
        <v>141</v>
      </c>
      <c r="F34" s="127">
        <v>0</v>
      </c>
      <c r="G34" s="201" t="s">
        <v>107</v>
      </c>
      <c r="H34" s="202" t="s">
        <v>107</v>
      </c>
    </row>
    <row r="35" spans="1:8">
      <c r="A35" s="43"/>
      <c r="B35" s="24"/>
      <c r="C35" s="24" t="s">
        <v>18</v>
      </c>
      <c r="D35" s="124">
        <f>E35+F35</f>
        <v>170000</v>
      </c>
      <c r="E35" s="124">
        <v>203330</v>
      </c>
      <c r="F35" s="124">
        <f>H35</f>
        <v>-33330</v>
      </c>
      <c r="G35" s="195" t="s">
        <v>198</v>
      </c>
      <c r="H35" s="196">
        <f>170000-203330</f>
        <v>-33330</v>
      </c>
    </row>
    <row r="36" spans="1:8">
      <c r="A36" s="43"/>
      <c r="B36" s="24"/>
      <c r="C36" s="24" t="s">
        <v>19</v>
      </c>
      <c r="D36" s="124">
        <f>E36+F36</f>
        <v>39037</v>
      </c>
      <c r="E36" s="124">
        <v>39037</v>
      </c>
      <c r="F36" s="124">
        <v>0</v>
      </c>
      <c r="G36" s="27"/>
      <c r="H36" s="120"/>
    </row>
    <row r="37" spans="1:8">
      <c r="A37" s="43"/>
      <c r="B37" s="24"/>
      <c r="C37" s="24" t="s">
        <v>20</v>
      </c>
      <c r="D37" s="124">
        <f t="shared" ref="D37:D38" si="4">E37+F37</f>
        <v>140000</v>
      </c>
      <c r="E37" s="124">
        <v>140000</v>
      </c>
      <c r="F37" s="124">
        <v>0</v>
      </c>
      <c r="G37" s="27"/>
      <c r="H37" s="120"/>
    </row>
    <row r="38" spans="1:8">
      <c r="A38" s="43"/>
      <c r="B38" s="24"/>
      <c r="C38" s="24" t="s">
        <v>21</v>
      </c>
      <c r="D38" s="124">
        <f t="shared" si="4"/>
        <v>248864</v>
      </c>
      <c r="E38" s="124">
        <v>248864</v>
      </c>
      <c r="F38" s="124">
        <v>0</v>
      </c>
      <c r="G38" s="27"/>
      <c r="H38" s="120"/>
    </row>
    <row r="39" spans="1:8">
      <c r="A39" s="43"/>
      <c r="B39" s="29" t="s">
        <v>22</v>
      </c>
      <c r="C39" s="29"/>
      <c r="D39" s="122">
        <f>SUM(D40)</f>
        <v>0</v>
      </c>
      <c r="E39" s="122">
        <v>0</v>
      </c>
      <c r="F39" s="122">
        <f t="shared" si="1"/>
        <v>0</v>
      </c>
      <c r="G39" s="31"/>
      <c r="H39" s="132"/>
    </row>
    <row r="40" spans="1:8">
      <c r="A40" s="43"/>
      <c r="B40" s="24"/>
      <c r="C40" s="51" t="s">
        <v>22</v>
      </c>
      <c r="D40" s="128" t="s">
        <v>107</v>
      </c>
      <c r="E40" s="128" t="s">
        <v>141</v>
      </c>
      <c r="F40" s="128" t="s">
        <v>107</v>
      </c>
      <c r="G40" s="113" t="s">
        <v>107</v>
      </c>
      <c r="H40" s="135" t="s">
        <v>107</v>
      </c>
    </row>
    <row r="41" spans="1:8">
      <c r="A41" s="43"/>
      <c r="B41" s="29" t="s">
        <v>23</v>
      </c>
      <c r="C41" s="29"/>
      <c r="D41" s="122">
        <f>SUM(D42)</f>
        <v>40000</v>
      </c>
      <c r="E41" s="122">
        <v>40000</v>
      </c>
      <c r="F41" s="122">
        <f t="shared" si="1"/>
        <v>0</v>
      </c>
      <c r="G41" s="31"/>
      <c r="H41" s="132"/>
    </row>
    <row r="42" spans="1:8">
      <c r="A42" s="43"/>
      <c r="B42" s="24"/>
      <c r="C42" s="51" t="s">
        <v>23</v>
      </c>
      <c r="D42" s="126">
        <f>E42+F42</f>
        <v>40000</v>
      </c>
      <c r="E42" s="126">
        <v>40000</v>
      </c>
      <c r="F42" s="126">
        <v>0</v>
      </c>
      <c r="G42" s="192"/>
      <c r="H42" s="130"/>
    </row>
    <row r="43" spans="1:8">
      <c r="A43" s="41" t="s">
        <v>24</v>
      </c>
      <c r="B43" s="18"/>
      <c r="C43" s="18"/>
      <c r="D43" s="121">
        <f>SUM(D44,D46,D48,D50)</f>
        <v>35500</v>
      </c>
      <c r="E43" s="121">
        <v>15500</v>
      </c>
      <c r="F43" s="121">
        <f t="shared" si="1"/>
        <v>20000</v>
      </c>
      <c r="G43" s="20"/>
      <c r="H43" s="136"/>
    </row>
    <row r="44" spans="1:8">
      <c r="A44" s="43"/>
      <c r="B44" s="29" t="s">
        <v>25</v>
      </c>
      <c r="C44" s="29"/>
      <c r="D44" s="122">
        <f>SUM(D45)</f>
        <v>15500</v>
      </c>
      <c r="E44" s="122">
        <v>15500</v>
      </c>
      <c r="F44" s="122">
        <f t="shared" si="1"/>
        <v>0</v>
      </c>
      <c r="G44" s="31"/>
      <c r="H44" s="132"/>
    </row>
    <row r="45" spans="1:8">
      <c r="A45" s="43"/>
      <c r="B45" s="24"/>
      <c r="C45" s="51" t="s">
        <v>26</v>
      </c>
      <c r="D45" s="123">
        <f>E45+F45</f>
        <v>15500</v>
      </c>
      <c r="E45" s="123">
        <v>15500</v>
      </c>
      <c r="F45" s="123">
        <v>0</v>
      </c>
      <c r="G45" s="57"/>
      <c r="H45" s="119"/>
    </row>
    <row r="46" spans="1:8">
      <c r="A46" s="43"/>
      <c r="B46" s="29" t="s">
        <v>27</v>
      </c>
      <c r="C46" s="29"/>
      <c r="D46" s="122">
        <f>SUM(D47)</f>
        <v>0</v>
      </c>
      <c r="E46" s="122">
        <v>0</v>
      </c>
      <c r="F46" s="122">
        <f t="shared" si="1"/>
        <v>0</v>
      </c>
      <c r="G46" s="31"/>
      <c r="H46" s="132"/>
    </row>
    <row r="47" spans="1:8">
      <c r="A47" s="43"/>
      <c r="B47" s="24"/>
      <c r="C47" s="51" t="s">
        <v>27</v>
      </c>
      <c r="D47" s="128" t="s">
        <v>107</v>
      </c>
      <c r="E47" s="128" t="s">
        <v>141</v>
      </c>
      <c r="F47" s="128" t="s">
        <v>107</v>
      </c>
      <c r="G47" s="113" t="s">
        <v>107</v>
      </c>
      <c r="H47" s="135" t="s">
        <v>107</v>
      </c>
    </row>
    <row r="48" spans="1:8">
      <c r="A48" s="43"/>
      <c r="B48" s="29" t="s">
        <v>28</v>
      </c>
      <c r="C48" s="29"/>
      <c r="D48" s="122">
        <f>SUM(D49)</f>
        <v>0</v>
      </c>
      <c r="E48" s="122">
        <v>0</v>
      </c>
      <c r="F48" s="122">
        <f t="shared" si="1"/>
        <v>0</v>
      </c>
      <c r="G48" s="31"/>
      <c r="H48" s="132"/>
    </row>
    <row r="49" spans="1:8">
      <c r="A49" s="43"/>
      <c r="B49" s="24"/>
      <c r="C49" s="51" t="s">
        <v>29</v>
      </c>
      <c r="D49" s="128" t="s">
        <v>107</v>
      </c>
      <c r="E49" s="128" t="s">
        <v>141</v>
      </c>
      <c r="F49" s="128" t="s">
        <v>107</v>
      </c>
      <c r="G49" s="113" t="s">
        <v>107</v>
      </c>
      <c r="H49" s="135" t="s">
        <v>107</v>
      </c>
    </row>
    <row r="50" spans="1:8">
      <c r="A50" s="43"/>
      <c r="B50" s="29" t="s">
        <v>30</v>
      </c>
      <c r="C50" s="29"/>
      <c r="D50" s="122">
        <f>SUM(D51:D52)</f>
        <v>20000</v>
      </c>
      <c r="E50" s="122">
        <v>0</v>
      </c>
      <c r="F50" s="122">
        <f t="shared" si="1"/>
        <v>20000</v>
      </c>
      <c r="G50" s="31"/>
      <c r="H50" s="132"/>
    </row>
    <row r="51" spans="1:8">
      <c r="A51" s="43"/>
      <c r="B51" s="24"/>
      <c r="C51" s="51" t="s">
        <v>31</v>
      </c>
      <c r="D51" s="128">
        <f>H51</f>
        <v>20000</v>
      </c>
      <c r="E51" s="128" t="s">
        <v>141</v>
      </c>
      <c r="F51" s="128" t="s">
        <v>107</v>
      </c>
      <c r="G51" s="190" t="s">
        <v>147</v>
      </c>
      <c r="H51" s="191">
        <v>20000</v>
      </c>
    </row>
    <row r="52" spans="1:8">
      <c r="A52" s="43"/>
      <c r="B52" s="24"/>
      <c r="C52" s="51" t="s">
        <v>32</v>
      </c>
      <c r="D52" s="128" t="s">
        <v>107</v>
      </c>
      <c r="E52" s="128" t="s">
        <v>141</v>
      </c>
      <c r="F52" s="128" t="s">
        <v>107</v>
      </c>
      <c r="G52" s="113" t="s">
        <v>107</v>
      </c>
      <c r="H52" s="135" t="s">
        <v>107</v>
      </c>
    </row>
    <row r="53" spans="1:8">
      <c r="A53" s="41" t="s">
        <v>33</v>
      </c>
      <c r="B53" s="18"/>
      <c r="C53" s="18"/>
      <c r="D53" s="121">
        <f>SUM(D54,D56)</f>
        <v>0</v>
      </c>
      <c r="E53" s="121">
        <v>0</v>
      </c>
      <c r="F53" s="121">
        <f t="shared" si="1"/>
        <v>0</v>
      </c>
      <c r="G53" s="20"/>
      <c r="H53" s="136"/>
    </row>
    <row r="54" spans="1:8">
      <c r="A54" s="43"/>
      <c r="B54" s="29" t="s">
        <v>34</v>
      </c>
      <c r="C54" s="29"/>
      <c r="D54" s="122">
        <f>SUM(D55)</f>
        <v>0</v>
      </c>
      <c r="E54" s="122">
        <v>0</v>
      </c>
      <c r="F54" s="122">
        <f t="shared" ref="F54:F70" si="5">D54-E54</f>
        <v>0</v>
      </c>
      <c r="G54" s="31"/>
      <c r="H54" s="132"/>
    </row>
    <row r="55" spans="1:8">
      <c r="A55" s="43"/>
      <c r="B55" s="24"/>
      <c r="C55" s="54" t="s">
        <v>34</v>
      </c>
      <c r="D55" s="128" t="s">
        <v>107</v>
      </c>
      <c r="E55" s="128" t="s">
        <v>141</v>
      </c>
      <c r="F55" s="128" t="s">
        <v>107</v>
      </c>
      <c r="G55" s="113" t="s">
        <v>107</v>
      </c>
      <c r="H55" s="135" t="s">
        <v>107</v>
      </c>
    </row>
    <row r="56" spans="1:8">
      <c r="A56" s="43"/>
      <c r="B56" s="29" t="s">
        <v>35</v>
      </c>
      <c r="C56" s="29"/>
      <c r="D56" s="122">
        <f>SUM(D57)</f>
        <v>0</v>
      </c>
      <c r="E56" s="122">
        <v>0</v>
      </c>
      <c r="F56" s="122">
        <f t="shared" si="5"/>
        <v>0</v>
      </c>
      <c r="G56" s="31"/>
      <c r="H56" s="132"/>
    </row>
    <row r="57" spans="1:8">
      <c r="A57" s="43"/>
      <c r="B57" s="24"/>
      <c r="C57" s="55" t="s">
        <v>35</v>
      </c>
      <c r="D57" s="128" t="s">
        <v>107</v>
      </c>
      <c r="E57" s="128" t="s">
        <v>141</v>
      </c>
      <c r="F57" s="128" t="s">
        <v>107</v>
      </c>
      <c r="G57" s="113" t="s">
        <v>107</v>
      </c>
      <c r="H57" s="135" t="s">
        <v>107</v>
      </c>
    </row>
    <row r="58" spans="1:8">
      <c r="A58" s="41" t="s">
        <v>36</v>
      </c>
      <c r="B58" s="18"/>
      <c r="C58" s="18"/>
      <c r="D58" s="121">
        <f>SUM(D59)</f>
        <v>0</v>
      </c>
      <c r="E58" s="121">
        <v>0</v>
      </c>
      <c r="F58" s="121">
        <f t="shared" si="5"/>
        <v>0</v>
      </c>
      <c r="G58" s="20"/>
      <c r="H58" s="136"/>
    </row>
    <row r="59" spans="1:8">
      <c r="A59" s="43"/>
      <c r="B59" s="29" t="s">
        <v>36</v>
      </c>
      <c r="C59" s="29"/>
      <c r="D59" s="122">
        <f>SUM(D60:D61)</f>
        <v>0</v>
      </c>
      <c r="E59" s="122">
        <v>0</v>
      </c>
      <c r="F59" s="122">
        <f t="shared" si="5"/>
        <v>0</v>
      </c>
      <c r="G59" s="31"/>
      <c r="H59" s="132"/>
    </row>
    <row r="60" spans="1:8">
      <c r="A60" s="43"/>
      <c r="B60" s="24"/>
      <c r="C60" s="54" t="s">
        <v>37</v>
      </c>
      <c r="D60" s="128" t="s">
        <v>107</v>
      </c>
      <c r="E60" s="128" t="s">
        <v>141</v>
      </c>
      <c r="F60" s="128" t="s">
        <v>107</v>
      </c>
      <c r="G60" s="113" t="s">
        <v>107</v>
      </c>
      <c r="H60" s="135" t="s">
        <v>107</v>
      </c>
    </row>
    <row r="61" spans="1:8">
      <c r="A61" s="43"/>
      <c r="B61" s="24"/>
      <c r="C61" s="55" t="s">
        <v>38</v>
      </c>
      <c r="D61" s="128" t="s">
        <v>107</v>
      </c>
      <c r="E61" s="128" t="s">
        <v>141</v>
      </c>
      <c r="F61" s="128" t="s">
        <v>107</v>
      </c>
      <c r="G61" s="113" t="s">
        <v>107</v>
      </c>
      <c r="H61" s="135" t="s">
        <v>107</v>
      </c>
    </row>
    <row r="62" spans="1:8">
      <c r="A62" s="41" t="s">
        <v>39</v>
      </c>
      <c r="B62" s="18"/>
      <c r="C62" s="18"/>
      <c r="D62" s="121">
        <f>SUM(D63,D65,D67)</f>
        <v>0</v>
      </c>
      <c r="E62" s="121">
        <v>0</v>
      </c>
      <c r="F62" s="121">
        <f t="shared" si="5"/>
        <v>0</v>
      </c>
      <c r="G62" s="20"/>
      <c r="H62" s="136"/>
    </row>
    <row r="63" spans="1:8">
      <c r="A63" s="43"/>
      <c r="B63" s="29" t="s">
        <v>40</v>
      </c>
      <c r="C63" s="29"/>
      <c r="D63" s="122">
        <f>SUM(D64)</f>
        <v>0</v>
      </c>
      <c r="E63" s="122">
        <v>0</v>
      </c>
      <c r="F63" s="122">
        <f t="shared" si="5"/>
        <v>0</v>
      </c>
      <c r="G63" s="31"/>
      <c r="H63" s="132"/>
    </row>
    <row r="64" spans="1:8">
      <c r="A64" s="43"/>
      <c r="B64" s="24"/>
      <c r="C64" s="54" t="s">
        <v>40</v>
      </c>
      <c r="D64" s="128" t="s">
        <v>107</v>
      </c>
      <c r="E64" s="128" t="s">
        <v>141</v>
      </c>
      <c r="F64" s="128" t="s">
        <v>107</v>
      </c>
      <c r="G64" s="113" t="s">
        <v>107</v>
      </c>
      <c r="H64" s="135" t="s">
        <v>107</v>
      </c>
    </row>
    <row r="65" spans="1:8">
      <c r="A65" s="43"/>
      <c r="B65" s="29" t="s">
        <v>41</v>
      </c>
      <c r="C65" s="29"/>
      <c r="D65" s="122">
        <f>SUM(D66)</f>
        <v>0</v>
      </c>
      <c r="E65" s="122">
        <v>0</v>
      </c>
      <c r="F65" s="122">
        <f t="shared" si="5"/>
        <v>0</v>
      </c>
      <c r="G65" s="31"/>
      <c r="H65" s="132"/>
    </row>
    <row r="66" spans="1:8">
      <c r="A66" s="43"/>
      <c r="B66" s="24"/>
      <c r="C66" s="55" t="s">
        <v>42</v>
      </c>
      <c r="D66" s="128" t="s">
        <v>107</v>
      </c>
      <c r="E66" s="128" t="s">
        <v>141</v>
      </c>
      <c r="F66" s="128" t="s">
        <v>107</v>
      </c>
      <c r="G66" s="113" t="s">
        <v>107</v>
      </c>
      <c r="H66" s="135" t="s">
        <v>107</v>
      </c>
    </row>
    <row r="67" spans="1:8">
      <c r="A67" s="43"/>
      <c r="B67" s="29" t="s">
        <v>43</v>
      </c>
      <c r="C67" s="29"/>
      <c r="D67" s="122">
        <f>SUM(D68)</f>
        <v>0</v>
      </c>
      <c r="E67" s="122">
        <v>0</v>
      </c>
      <c r="F67" s="122">
        <f t="shared" si="5"/>
        <v>0</v>
      </c>
      <c r="G67" s="31"/>
      <c r="H67" s="132"/>
    </row>
    <row r="68" spans="1:8">
      <c r="A68" s="43"/>
      <c r="B68" s="24"/>
      <c r="C68" s="55" t="s">
        <v>43</v>
      </c>
      <c r="D68" s="128" t="s">
        <v>107</v>
      </c>
      <c r="E68" s="128" t="s">
        <v>141</v>
      </c>
      <c r="F68" s="128" t="s">
        <v>107</v>
      </c>
      <c r="G68" s="113" t="s">
        <v>107</v>
      </c>
      <c r="H68" s="135" t="s">
        <v>107</v>
      </c>
    </row>
    <row r="69" spans="1:8">
      <c r="A69" s="41" t="s">
        <v>44</v>
      </c>
      <c r="B69" s="18"/>
      <c r="C69" s="18"/>
      <c r="D69" s="121">
        <f>SUM(D70)</f>
        <v>1465687</v>
      </c>
      <c r="E69" s="121">
        <v>700000</v>
      </c>
      <c r="F69" s="121">
        <f t="shared" si="5"/>
        <v>765687</v>
      </c>
      <c r="G69" s="20"/>
      <c r="H69" s="136"/>
    </row>
    <row r="70" spans="1:8">
      <c r="A70" s="43"/>
      <c r="B70" s="29" t="s">
        <v>45</v>
      </c>
      <c r="C70" s="29"/>
      <c r="D70" s="122">
        <f>SUM(D71:D72)</f>
        <v>1465687</v>
      </c>
      <c r="E70" s="122">
        <v>700000</v>
      </c>
      <c r="F70" s="122">
        <f t="shared" si="5"/>
        <v>765687</v>
      </c>
      <c r="G70" s="31"/>
      <c r="H70" s="132"/>
    </row>
    <row r="71" spans="1:8">
      <c r="A71" s="43"/>
      <c r="B71" s="24"/>
      <c r="C71" s="51" t="s">
        <v>46</v>
      </c>
      <c r="D71" s="126"/>
      <c r="E71" s="126"/>
      <c r="F71" s="126"/>
      <c r="G71" s="32"/>
      <c r="H71" s="44"/>
    </row>
    <row r="72" spans="1:8">
      <c r="A72" s="43"/>
      <c r="B72" s="24"/>
      <c r="C72" s="55" t="s">
        <v>47</v>
      </c>
      <c r="D72" s="126">
        <v>1465687</v>
      </c>
      <c r="E72" s="126">
        <v>700000</v>
      </c>
      <c r="F72" s="126">
        <f t="shared" ref="F72" si="6">D72-E72</f>
        <v>765687</v>
      </c>
      <c r="G72" s="32" t="s">
        <v>240</v>
      </c>
      <c r="H72" s="130">
        <f>1465687-700000</f>
        <v>765687</v>
      </c>
    </row>
    <row r="73" spans="1:8" ht="17.25" thickBot="1">
      <c r="A73" s="45" t="s">
        <v>48</v>
      </c>
      <c r="B73" s="46"/>
      <c r="C73" s="46"/>
      <c r="D73" s="129">
        <f>D69+D43+D30+D5</f>
        <v>12270108</v>
      </c>
      <c r="E73" s="129">
        <f>E69+E43+E30+E5</f>
        <v>10851683</v>
      </c>
      <c r="F73" s="129">
        <f>D73-E73</f>
        <v>1418425</v>
      </c>
      <c r="G73" s="48"/>
      <c r="H73" s="49"/>
    </row>
    <row r="74" spans="1:8">
      <c r="A74" s="8"/>
      <c r="B74" s="8"/>
      <c r="C74" s="8"/>
      <c r="D74" s="1"/>
      <c r="E74" s="1"/>
      <c r="F74" s="1"/>
      <c r="G74" s="7"/>
      <c r="H74" s="1"/>
    </row>
  </sheetData>
  <mergeCells count="3">
    <mergeCell ref="A1:H1"/>
    <mergeCell ref="G3:G4"/>
    <mergeCell ref="H3:H4"/>
  </mergeCells>
  <phoneticPr fontId="2" type="noConversion"/>
  <pageMargins left="0.39370078740157483" right="0.39370078740157483" top="0.74803149606299213" bottom="0.74803149606299213" header="0.31496062992125984" footer="0.31496062992125984"/>
  <pageSetup paperSize="9" scale="62" orientation="portrait" r:id="rId1"/>
  <headerFooter>
    <oddFooter>&amp;C&amp;A&amp;R&amp;P페이지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view="pageBreakPreview" zoomScale="106" zoomScaleNormal="115" zoomScaleSheetLayoutView="106" workbookViewId="0">
      <pane ySplit="4" topLeftCell="A110" activePane="bottomLeft" state="frozen"/>
      <selection activeCell="B1" sqref="B1"/>
      <selection pane="bottomLeft" activeCell="L11" sqref="L11"/>
    </sheetView>
  </sheetViews>
  <sheetFormatPr defaultRowHeight="16.5"/>
  <cols>
    <col min="1" max="2" width="2.625" style="1" customWidth="1"/>
    <col min="3" max="3" width="20.625" style="2" customWidth="1"/>
    <col min="4" max="4" width="16.125" style="3" customWidth="1"/>
    <col min="5" max="5" width="13.625" style="3" customWidth="1"/>
    <col min="6" max="6" width="12" style="3" customWidth="1"/>
    <col min="7" max="7" width="47" style="4" customWidth="1"/>
    <col min="8" max="8" width="17.625" style="4" bestFit="1" customWidth="1"/>
    <col min="9" max="9" width="11.625" bestFit="1" customWidth="1"/>
  </cols>
  <sheetData>
    <row r="1" spans="1:8" ht="33.75">
      <c r="A1" s="246" t="s">
        <v>150</v>
      </c>
      <c r="B1" s="247"/>
      <c r="C1" s="247"/>
      <c r="D1" s="247"/>
      <c r="E1" s="247"/>
      <c r="F1" s="247"/>
      <c r="G1" s="247"/>
      <c r="H1" s="247"/>
    </row>
    <row r="2" spans="1:8" ht="17.25" thickBot="1">
      <c r="A2" s="5"/>
      <c r="B2" s="6"/>
      <c r="C2" s="5"/>
      <c r="D2" s="1"/>
      <c r="E2" s="1"/>
      <c r="F2" s="1"/>
      <c r="G2" s="7"/>
      <c r="H2" s="1"/>
    </row>
    <row r="3" spans="1:8">
      <c r="A3" s="37" t="s">
        <v>0</v>
      </c>
      <c r="B3" s="38"/>
      <c r="C3" s="39"/>
      <c r="D3" s="117" t="s">
        <v>142</v>
      </c>
      <c r="E3" s="117" t="s">
        <v>143</v>
      </c>
      <c r="F3" s="117" t="s">
        <v>60</v>
      </c>
      <c r="G3" s="248" t="s">
        <v>149</v>
      </c>
      <c r="H3" s="250" t="s">
        <v>211</v>
      </c>
    </row>
    <row r="4" spans="1:8">
      <c r="A4" s="40" t="s">
        <v>1</v>
      </c>
      <c r="B4" s="16" t="s">
        <v>2</v>
      </c>
      <c r="C4" s="17" t="s">
        <v>3</v>
      </c>
      <c r="D4" s="118" t="s">
        <v>144</v>
      </c>
      <c r="E4" s="118" t="s">
        <v>145</v>
      </c>
      <c r="F4" s="118" t="s">
        <v>146</v>
      </c>
      <c r="G4" s="249"/>
      <c r="H4" s="251"/>
    </row>
    <row r="5" spans="1:8">
      <c r="A5" s="41" t="s">
        <v>15</v>
      </c>
      <c r="B5" s="18"/>
      <c r="C5" s="19"/>
      <c r="D5" s="137">
        <f>D6+D16+D22</f>
        <v>5869700</v>
      </c>
      <c r="E5" s="137">
        <f>E6+E16+E22</f>
        <v>5051300</v>
      </c>
      <c r="F5" s="137">
        <f>D5-E5</f>
        <v>818400</v>
      </c>
      <c r="G5" s="138"/>
      <c r="H5" s="136"/>
    </row>
    <row r="6" spans="1:8">
      <c r="A6" s="43"/>
      <c r="B6" s="21" t="s">
        <v>49</v>
      </c>
      <c r="C6" s="22"/>
      <c r="D6" s="139">
        <f>SUM(D7:D7)</f>
        <v>4394000</v>
      </c>
      <c r="E6" s="139">
        <v>3684800</v>
      </c>
      <c r="F6" s="139">
        <f>D6-E6</f>
        <v>709200</v>
      </c>
      <c r="G6" s="140"/>
      <c r="H6" s="133"/>
    </row>
    <row r="7" spans="1:8">
      <c r="A7" s="43"/>
      <c r="B7" s="24"/>
      <c r="C7" s="25" t="s">
        <v>49</v>
      </c>
      <c r="D7" s="141">
        <f>E7+F7</f>
        <v>4394000</v>
      </c>
      <c r="E7" s="141">
        <v>3684800</v>
      </c>
      <c r="F7" s="141">
        <f>H15</f>
        <v>709200</v>
      </c>
      <c r="G7" s="142" t="s">
        <v>63</v>
      </c>
      <c r="H7" s="119"/>
    </row>
    <row r="8" spans="1:8">
      <c r="A8" s="43"/>
      <c r="B8" s="24"/>
      <c r="C8" s="26"/>
      <c r="D8" s="143"/>
      <c r="E8" s="143"/>
      <c r="F8" s="143"/>
      <c r="G8" s="170" t="s">
        <v>215</v>
      </c>
      <c r="H8" s="171">
        <f>2496600-2257200</f>
        <v>239400</v>
      </c>
    </row>
    <row r="9" spans="1:8" s="11" customFormat="1">
      <c r="A9" s="43"/>
      <c r="B9" s="24"/>
      <c r="C9" s="26"/>
      <c r="D9" s="143"/>
      <c r="E9" s="143"/>
      <c r="F9" s="143"/>
      <c r="G9" s="170" t="s">
        <v>155</v>
      </c>
      <c r="H9" s="171">
        <f>0-8400</f>
        <v>-8400</v>
      </c>
    </row>
    <row r="10" spans="1:8">
      <c r="A10" s="43"/>
      <c r="B10" s="24"/>
      <c r="C10" s="26"/>
      <c r="D10" s="143"/>
      <c r="E10" s="143"/>
      <c r="F10" s="143"/>
      <c r="G10" s="170" t="s">
        <v>216</v>
      </c>
      <c r="H10" s="171">
        <f>9600-14400</f>
        <v>-4800</v>
      </c>
    </row>
    <row r="11" spans="1:8">
      <c r="A11" s="43"/>
      <c r="B11" s="24"/>
      <c r="C11" s="26"/>
      <c r="D11" s="143"/>
      <c r="E11" s="143"/>
      <c r="F11" s="143"/>
      <c r="G11" s="170" t="s">
        <v>156</v>
      </c>
      <c r="H11" s="171">
        <f>52800-57600</f>
        <v>-4800</v>
      </c>
    </row>
    <row r="12" spans="1:8" s="11" customFormat="1">
      <c r="A12" s="43"/>
      <c r="B12" s="24"/>
      <c r="C12" s="26"/>
      <c r="D12" s="143"/>
      <c r="E12" s="143"/>
      <c r="F12" s="143"/>
      <c r="G12" s="170" t="s">
        <v>223</v>
      </c>
      <c r="H12" s="171">
        <f>1200*36*12</f>
        <v>518400</v>
      </c>
    </row>
    <row r="13" spans="1:8">
      <c r="A13" s="43"/>
      <c r="B13" s="24"/>
      <c r="C13" s="26"/>
      <c r="D13" s="143"/>
      <c r="E13" s="143"/>
      <c r="F13" s="143"/>
      <c r="G13" s="170" t="s">
        <v>157</v>
      </c>
      <c r="H13" s="171">
        <f>84000-120000</f>
        <v>-36000</v>
      </c>
    </row>
    <row r="14" spans="1:8" s="11" customFormat="1">
      <c r="A14" s="43"/>
      <c r="B14" s="24"/>
      <c r="C14" s="26"/>
      <c r="D14" s="143"/>
      <c r="E14" s="143"/>
      <c r="F14" s="143"/>
      <c r="G14" s="170" t="s">
        <v>224</v>
      </c>
      <c r="H14" s="171">
        <f>10*3*20*9</f>
        <v>5400</v>
      </c>
    </row>
    <row r="15" spans="1:8" s="11" customFormat="1">
      <c r="A15" s="43"/>
      <c r="B15" s="24"/>
      <c r="C15" s="28"/>
      <c r="D15" s="144"/>
      <c r="E15" s="144"/>
      <c r="F15" s="144"/>
      <c r="G15" s="145" t="s">
        <v>58</v>
      </c>
      <c r="H15" s="160">
        <f>SUM(H8:H14)</f>
        <v>709200</v>
      </c>
    </row>
    <row r="16" spans="1:8">
      <c r="A16" s="43"/>
      <c r="B16" s="29" t="s">
        <v>50</v>
      </c>
      <c r="C16" s="30"/>
      <c r="D16" s="146">
        <f>SUM(D17)</f>
        <v>1475700</v>
      </c>
      <c r="E16" s="146">
        <f>E17</f>
        <v>1366500</v>
      </c>
      <c r="F16" s="146">
        <f>D16-E16</f>
        <v>109200</v>
      </c>
      <c r="G16" s="147"/>
      <c r="H16" s="161"/>
    </row>
    <row r="17" spans="1:8">
      <c r="A17" s="43"/>
      <c r="B17" s="24"/>
      <c r="C17" s="25" t="s">
        <v>51</v>
      </c>
      <c r="D17" s="141">
        <f>E17+F17</f>
        <v>1475700</v>
      </c>
      <c r="E17" s="141">
        <v>1366500</v>
      </c>
      <c r="F17" s="141">
        <f>H21</f>
        <v>109200</v>
      </c>
      <c r="G17" s="142" t="s">
        <v>59</v>
      </c>
      <c r="H17" s="162"/>
    </row>
    <row r="18" spans="1:8">
      <c r="A18" s="43"/>
      <c r="B18" s="24"/>
      <c r="C18" s="26"/>
      <c r="D18" s="143"/>
      <c r="E18" s="143"/>
      <c r="F18" s="143"/>
      <c r="G18" s="170" t="s">
        <v>184</v>
      </c>
      <c r="H18" s="172">
        <f>840000-792000</f>
        <v>48000</v>
      </c>
    </row>
    <row r="19" spans="1:8" s="11" customFormat="1">
      <c r="A19" s="43"/>
      <c r="B19" s="24"/>
      <c r="C19" s="26"/>
      <c r="D19" s="143"/>
      <c r="E19" s="143"/>
      <c r="F19" s="143"/>
      <c r="G19" s="170" t="s">
        <v>225</v>
      </c>
      <c r="H19" s="171">
        <f>1200*4*12</f>
        <v>57600</v>
      </c>
    </row>
    <row r="20" spans="1:8" s="11" customFormat="1">
      <c r="A20" s="43"/>
      <c r="B20" s="24"/>
      <c r="C20" s="26"/>
      <c r="D20" s="143"/>
      <c r="E20" s="143"/>
      <c r="F20" s="143"/>
      <c r="G20" s="170" t="s">
        <v>226</v>
      </c>
      <c r="H20" s="171">
        <f>10*2*20*9</f>
        <v>3600</v>
      </c>
    </row>
    <row r="21" spans="1:8" s="9" customFormat="1">
      <c r="A21" s="43"/>
      <c r="B21" s="24"/>
      <c r="C21" s="26"/>
      <c r="D21" s="143"/>
      <c r="E21" s="143"/>
      <c r="F21" s="143"/>
      <c r="G21" s="148" t="s">
        <v>58</v>
      </c>
      <c r="H21" s="163">
        <f>SUM(H18:H20)</f>
        <v>109200</v>
      </c>
    </row>
    <row r="22" spans="1:8">
      <c r="A22" s="43"/>
      <c r="B22" s="29" t="s">
        <v>52</v>
      </c>
      <c r="C22" s="30"/>
      <c r="D22" s="146">
        <f>SUM(D23:D23)</f>
        <v>0</v>
      </c>
      <c r="E22" s="146">
        <v>0</v>
      </c>
      <c r="F22" s="146"/>
      <c r="G22" s="147"/>
      <c r="H22" s="161"/>
    </row>
    <row r="23" spans="1:8">
      <c r="A23" s="43"/>
      <c r="B23" s="24"/>
      <c r="C23" s="25" t="s">
        <v>52</v>
      </c>
      <c r="D23" s="151"/>
      <c r="E23" s="151"/>
      <c r="F23" s="151"/>
      <c r="G23" s="152"/>
      <c r="H23" s="164"/>
    </row>
    <row r="24" spans="1:8">
      <c r="A24" s="41" t="s">
        <v>53</v>
      </c>
      <c r="B24" s="18"/>
      <c r="C24" s="19"/>
      <c r="D24" s="137">
        <f>SUM(D25,D46,D78,D95)</f>
        <v>3147035</v>
      </c>
      <c r="E24" s="137">
        <f>E25+E46+E78+E95</f>
        <v>3089321</v>
      </c>
      <c r="F24" s="137">
        <f>F25+F46+F78+F95</f>
        <v>57714</v>
      </c>
      <c r="G24" s="138"/>
      <c r="H24" s="165"/>
    </row>
    <row r="25" spans="1:8">
      <c r="A25" s="43"/>
      <c r="B25" s="21" t="s">
        <v>54</v>
      </c>
      <c r="C25" s="33"/>
      <c r="D25" s="146">
        <f>E25+F25</f>
        <v>2150025</v>
      </c>
      <c r="E25" s="146">
        <f>SUM(E26:E45)</f>
        <v>2129025</v>
      </c>
      <c r="F25" s="146">
        <f>SUM(F26:F45)</f>
        <v>21000</v>
      </c>
      <c r="G25" s="147"/>
      <c r="H25" s="161"/>
    </row>
    <row r="26" spans="1:8" s="11" customFormat="1">
      <c r="A26" s="43"/>
      <c r="B26" s="24"/>
      <c r="C26" s="25" t="s">
        <v>161</v>
      </c>
      <c r="D26" s="141">
        <f>E26+F26</f>
        <v>202000</v>
      </c>
      <c r="E26" s="141">
        <v>202000</v>
      </c>
      <c r="F26" s="141">
        <v>0</v>
      </c>
      <c r="G26" s="142"/>
      <c r="H26" s="162"/>
    </row>
    <row r="27" spans="1:8">
      <c r="A27" s="43"/>
      <c r="B27" s="24"/>
      <c r="C27" s="26" t="s">
        <v>55</v>
      </c>
      <c r="D27" s="143">
        <f>E27+F27</f>
        <v>394100</v>
      </c>
      <c r="E27" s="143">
        <v>398600</v>
      </c>
      <c r="F27" s="182">
        <f>H31</f>
        <v>-4500</v>
      </c>
      <c r="G27" s="149" t="s">
        <v>62</v>
      </c>
      <c r="H27" s="166"/>
    </row>
    <row r="28" spans="1:8">
      <c r="A28" s="43"/>
      <c r="B28" s="24"/>
      <c r="C28" s="26"/>
      <c r="D28" s="143"/>
      <c r="E28" s="143"/>
      <c r="F28" s="143"/>
      <c r="G28" s="153" t="s">
        <v>217</v>
      </c>
      <c r="H28" s="172">
        <f>5500-10000</f>
        <v>-4500</v>
      </c>
    </row>
    <row r="29" spans="1:8">
      <c r="A29" s="43"/>
      <c r="B29" s="24"/>
      <c r="C29" s="26"/>
      <c r="D29" s="143"/>
      <c r="E29" s="143"/>
      <c r="F29" s="143"/>
      <c r="G29" s="153" t="s">
        <v>218</v>
      </c>
      <c r="H29" s="172">
        <f>180000-192000</f>
        <v>-12000</v>
      </c>
    </row>
    <row r="30" spans="1:8" s="11" customFormat="1">
      <c r="A30" s="43"/>
      <c r="B30" s="24"/>
      <c r="C30" s="26"/>
      <c r="D30" s="143"/>
      <c r="E30" s="143"/>
      <c r="F30" s="143"/>
      <c r="G30" s="153" t="s">
        <v>227</v>
      </c>
      <c r="H30" s="172">
        <f>1000*12</f>
        <v>12000</v>
      </c>
    </row>
    <row r="31" spans="1:8">
      <c r="A31" s="43"/>
      <c r="B31" s="24"/>
      <c r="C31" s="26"/>
      <c r="D31" s="143"/>
      <c r="E31" s="143"/>
      <c r="F31" s="143"/>
      <c r="G31" s="148" t="s">
        <v>58</v>
      </c>
      <c r="H31" s="163">
        <f>SUM(H28:H30)</f>
        <v>-4500</v>
      </c>
    </row>
    <row r="32" spans="1:8" s="11" customFormat="1">
      <c r="A32" s="43"/>
      <c r="B32" s="24"/>
      <c r="C32" s="26" t="s">
        <v>162</v>
      </c>
      <c r="D32" s="143">
        <f>E32+F32</f>
        <v>145200</v>
      </c>
      <c r="E32" s="143">
        <v>145200</v>
      </c>
      <c r="F32" s="143">
        <v>0</v>
      </c>
      <c r="G32" s="142"/>
      <c r="H32" s="162"/>
    </row>
    <row r="33" spans="1:8" s="11" customFormat="1">
      <c r="A33" s="43"/>
      <c r="B33" s="24"/>
      <c r="C33" s="26" t="s">
        <v>163</v>
      </c>
      <c r="D33" s="143">
        <f t="shared" ref="D33:D35" si="0">E33+F33</f>
        <v>192000</v>
      </c>
      <c r="E33" s="143">
        <v>192000</v>
      </c>
      <c r="F33" s="143">
        <v>0</v>
      </c>
      <c r="G33" s="149"/>
      <c r="H33" s="166"/>
    </row>
    <row r="34" spans="1:8" s="11" customFormat="1">
      <c r="A34" s="43"/>
      <c r="B34" s="24"/>
      <c r="C34" s="26" t="s">
        <v>164</v>
      </c>
      <c r="D34" s="143">
        <f t="shared" si="0"/>
        <v>636000</v>
      </c>
      <c r="E34" s="143">
        <v>636000</v>
      </c>
      <c r="F34" s="143">
        <v>0</v>
      </c>
      <c r="G34" s="149"/>
      <c r="H34" s="166"/>
    </row>
    <row r="35" spans="1:8" s="11" customFormat="1">
      <c r="A35" s="43"/>
      <c r="B35" s="24"/>
      <c r="C35" s="26" t="s">
        <v>165</v>
      </c>
      <c r="D35" s="143">
        <f t="shared" si="0"/>
        <v>26400</v>
      </c>
      <c r="E35" s="143">
        <v>26400</v>
      </c>
      <c r="F35" s="143">
        <v>0</v>
      </c>
      <c r="G35" s="149"/>
      <c r="H35" s="166"/>
    </row>
    <row r="36" spans="1:8">
      <c r="A36" s="43"/>
      <c r="B36" s="24"/>
      <c r="C36" s="26" t="s">
        <v>66</v>
      </c>
      <c r="D36" s="143">
        <f>E36+F36</f>
        <v>162000</v>
      </c>
      <c r="E36" s="143">
        <v>136500</v>
      </c>
      <c r="F36" s="143">
        <f>H42</f>
        <v>25500</v>
      </c>
      <c r="G36" s="149" t="s">
        <v>65</v>
      </c>
      <c r="H36" s="166"/>
    </row>
    <row r="37" spans="1:8">
      <c r="A37" s="43"/>
      <c r="B37" s="24"/>
      <c r="C37" s="26"/>
      <c r="D37" s="143"/>
      <c r="E37" s="143"/>
      <c r="F37" s="143"/>
      <c r="G37" s="175" t="s">
        <v>158</v>
      </c>
      <c r="H37" s="171">
        <f>3000-1500</f>
        <v>1500</v>
      </c>
    </row>
    <row r="38" spans="1:8" s="11" customFormat="1">
      <c r="A38" s="43"/>
      <c r="B38" s="24"/>
      <c r="C38" s="26"/>
      <c r="D38" s="143"/>
      <c r="E38" s="143"/>
      <c r="F38" s="143"/>
      <c r="G38" s="175" t="s">
        <v>228</v>
      </c>
      <c r="H38" s="171">
        <f>2000*2</f>
        <v>4000</v>
      </c>
    </row>
    <row r="39" spans="1:8" s="11" customFormat="1">
      <c r="A39" s="43"/>
      <c r="B39" s="24"/>
      <c r="C39" s="26"/>
      <c r="D39" s="143"/>
      <c r="E39" s="143"/>
      <c r="F39" s="143"/>
      <c r="G39" s="175" t="s">
        <v>229</v>
      </c>
      <c r="H39" s="171">
        <f>2500*2</f>
        <v>5000</v>
      </c>
    </row>
    <row r="40" spans="1:8" s="9" customFormat="1">
      <c r="A40" s="43"/>
      <c r="B40" s="24"/>
      <c r="C40" s="26"/>
      <c r="D40" s="143"/>
      <c r="E40" s="143"/>
      <c r="F40" s="143"/>
      <c r="G40" s="174" t="s">
        <v>159</v>
      </c>
      <c r="H40" s="171">
        <f>15000-12000</f>
        <v>3000</v>
      </c>
    </row>
    <row r="41" spans="1:8">
      <c r="A41" s="43"/>
      <c r="B41" s="24"/>
      <c r="C41" s="26"/>
      <c r="D41" s="143"/>
      <c r="E41" s="143"/>
      <c r="F41" s="143"/>
      <c r="G41" s="159" t="s">
        <v>160</v>
      </c>
      <c r="H41" s="177">
        <f>24000-12000</f>
        <v>12000</v>
      </c>
    </row>
    <row r="42" spans="1:8">
      <c r="A42" s="43"/>
      <c r="B42" s="24"/>
      <c r="C42" s="26"/>
      <c r="D42" s="143"/>
      <c r="E42" s="143"/>
      <c r="F42" s="143"/>
      <c r="G42" s="148" t="s">
        <v>64</v>
      </c>
      <c r="H42" s="163">
        <f>SUM(H37:H41)</f>
        <v>25500</v>
      </c>
    </row>
    <row r="43" spans="1:8" s="11" customFormat="1">
      <c r="A43" s="43"/>
      <c r="B43" s="24"/>
      <c r="C43" s="26" t="s">
        <v>166</v>
      </c>
      <c r="D43" s="143">
        <f t="shared" ref="D43:D45" si="1">E43+F43</f>
        <v>138600</v>
      </c>
      <c r="E43" s="143">
        <v>138600</v>
      </c>
      <c r="F43" s="143">
        <v>0</v>
      </c>
      <c r="G43" s="149"/>
      <c r="H43" s="166"/>
    </row>
    <row r="44" spans="1:8" s="11" customFormat="1">
      <c r="A44" s="43"/>
      <c r="B44" s="24"/>
      <c r="C44" s="26" t="s">
        <v>167</v>
      </c>
      <c r="D44" s="143">
        <f t="shared" si="1"/>
        <v>125810</v>
      </c>
      <c r="E44" s="143">
        <v>125810</v>
      </c>
      <c r="F44" s="143">
        <v>0</v>
      </c>
      <c r="G44" s="149"/>
      <c r="H44" s="166"/>
    </row>
    <row r="45" spans="1:8" s="11" customFormat="1">
      <c r="A45" s="43"/>
      <c r="B45" s="24"/>
      <c r="C45" s="26" t="s">
        <v>168</v>
      </c>
      <c r="D45" s="143">
        <f t="shared" si="1"/>
        <v>127915</v>
      </c>
      <c r="E45" s="143">
        <v>127915</v>
      </c>
      <c r="F45" s="143">
        <v>0</v>
      </c>
      <c r="G45" s="149"/>
      <c r="H45" s="166"/>
    </row>
    <row r="46" spans="1:8">
      <c r="A46" s="43"/>
      <c r="B46" s="29" t="s">
        <v>68</v>
      </c>
      <c r="C46" s="30"/>
      <c r="D46" s="146">
        <f>D47</f>
        <v>710321</v>
      </c>
      <c r="E46" s="146">
        <v>649377</v>
      </c>
      <c r="F46" s="146">
        <f>F47</f>
        <v>60944</v>
      </c>
      <c r="G46" s="147"/>
      <c r="H46" s="161"/>
    </row>
    <row r="47" spans="1:8">
      <c r="A47" s="43"/>
      <c r="B47" s="24"/>
      <c r="C47" s="26" t="s">
        <v>152</v>
      </c>
      <c r="D47" s="143">
        <f>E47+F47</f>
        <v>710321</v>
      </c>
      <c r="E47" s="143">
        <v>649377</v>
      </c>
      <c r="F47" s="143">
        <f>H55+H66+H72+H77</f>
        <v>60944</v>
      </c>
      <c r="G47" s="142" t="s">
        <v>71</v>
      </c>
      <c r="H47" s="162"/>
    </row>
    <row r="48" spans="1:8">
      <c r="A48" s="43"/>
      <c r="B48" s="24"/>
      <c r="C48" s="26"/>
      <c r="D48" s="143"/>
      <c r="E48" s="143"/>
      <c r="F48" s="143"/>
      <c r="G48" s="149" t="s">
        <v>201</v>
      </c>
      <c r="H48" s="166"/>
    </row>
    <row r="49" spans="1:8">
      <c r="A49" s="43"/>
      <c r="B49" s="24"/>
      <c r="C49" s="26"/>
      <c r="D49" s="143"/>
      <c r="E49" s="143"/>
      <c r="F49" s="143"/>
      <c r="G49" s="153" t="s">
        <v>169</v>
      </c>
      <c r="H49" s="172">
        <v>-1280</v>
      </c>
    </row>
    <row r="50" spans="1:8">
      <c r="A50" s="43"/>
      <c r="B50" s="24"/>
      <c r="C50" s="26"/>
      <c r="D50" s="143"/>
      <c r="E50" s="143"/>
      <c r="F50" s="143"/>
      <c r="G50" s="153" t="s">
        <v>219</v>
      </c>
      <c r="H50" s="172">
        <v>-2000</v>
      </c>
    </row>
    <row r="51" spans="1:8" s="11" customFormat="1">
      <c r="A51" s="43"/>
      <c r="B51" s="24"/>
      <c r="C51" s="26"/>
      <c r="D51" s="143"/>
      <c r="E51" s="143"/>
      <c r="F51" s="143"/>
      <c r="G51" s="153" t="s">
        <v>230</v>
      </c>
      <c r="H51" s="172">
        <f>1000</f>
        <v>1000</v>
      </c>
    </row>
    <row r="52" spans="1:8" s="178" customFormat="1">
      <c r="A52" s="181"/>
      <c r="B52" s="179"/>
      <c r="C52" s="180"/>
      <c r="D52" s="143"/>
      <c r="E52" s="143"/>
      <c r="F52" s="143"/>
      <c r="G52" s="149" t="s">
        <v>202</v>
      </c>
      <c r="H52" s="172"/>
    </row>
    <row r="53" spans="1:8" s="210" customFormat="1">
      <c r="A53" s="214"/>
      <c r="B53" s="211"/>
      <c r="C53" s="212"/>
      <c r="D53" s="143"/>
      <c r="E53" s="143"/>
      <c r="F53" s="143"/>
      <c r="G53" s="150" t="s">
        <v>207</v>
      </c>
      <c r="H53" s="172">
        <f>7200-6600</f>
        <v>600</v>
      </c>
    </row>
    <row r="54" spans="1:8" s="178" customFormat="1">
      <c r="A54" s="181"/>
      <c r="B54" s="179"/>
      <c r="C54" s="180"/>
      <c r="D54" s="143"/>
      <c r="E54" s="143"/>
      <c r="F54" s="143"/>
      <c r="G54" s="153" t="s">
        <v>231</v>
      </c>
      <c r="H54" s="172">
        <v>3000</v>
      </c>
    </row>
    <row r="55" spans="1:8" s="178" customFormat="1">
      <c r="A55" s="181"/>
      <c r="B55" s="179"/>
      <c r="C55" s="180"/>
      <c r="D55" s="143"/>
      <c r="E55" s="143"/>
      <c r="F55" s="143"/>
      <c r="G55" s="148" t="s">
        <v>58</v>
      </c>
      <c r="H55" s="163">
        <f>SUM(H49:H54)</f>
        <v>1320</v>
      </c>
    </row>
    <row r="56" spans="1:8">
      <c r="A56" s="43"/>
      <c r="B56" s="24"/>
      <c r="C56" s="26"/>
      <c r="D56" s="143"/>
      <c r="E56" s="143"/>
      <c r="F56" s="143"/>
      <c r="G56" s="149" t="s">
        <v>140</v>
      </c>
      <c r="H56" s="166"/>
    </row>
    <row r="57" spans="1:8">
      <c r="A57" s="43"/>
      <c r="B57" s="24"/>
      <c r="C57" s="26"/>
      <c r="D57" s="143"/>
      <c r="E57" s="143"/>
      <c r="F57" s="143"/>
      <c r="G57" s="149" t="s">
        <v>69</v>
      </c>
      <c r="H57" s="166"/>
    </row>
    <row r="58" spans="1:8">
      <c r="A58" s="43"/>
      <c r="B58" s="24"/>
      <c r="C58" s="26"/>
      <c r="D58" s="143"/>
      <c r="E58" s="143"/>
      <c r="F58" s="143"/>
      <c r="G58" s="175" t="s">
        <v>220</v>
      </c>
      <c r="H58" s="171">
        <f>10240-6400</f>
        <v>3840</v>
      </c>
    </row>
    <row r="59" spans="1:8" s="11" customFormat="1">
      <c r="A59" s="43"/>
      <c r="B59" s="24"/>
      <c r="C59" s="26"/>
      <c r="D59" s="143"/>
      <c r="E59" s="143"/>
      <c r="F59" s="143"/>
      <c r="G59" s="175" t="s">
        <v>232</v>
      </c>
      <c r="H59" s="171">
        <f>16*56*8</f>
        <v>7168</v>
      </c>
    </row>
    <row r="60" spans="1:8">
      <c r="A60" s="43"/>
      <c r="B60" s="24"/>
      <c r="C60" s="26"/>
      <c r="D60" s="143"/>
      <c r="E60" s="143"/>
      <c r="F60" s="143"/>
      <c r="G60" s="175" t="s">
        <v>221</v>
      </c>
      <c r="H60" s="171">
        <f>1600-1200</f>
        <v>400</v>
      </c>
    </row>
    <row r="61" spans="1:8">
      <c r="A61" s="43"/>
      <c r="B61" s="24"/>
      <c r="C61" s="26"/>
      <c r="D61" s="143"/>
      <c r="E61" s="143"/>
      <c r="F61" s="143"/>
      <c r="G61" s="154" t="s">
        <v>67</v>
      </c>
      <c r="H61" s="167"/>
    </row>
    <row r="62" spans="1:8">
      <c r="A62" s="43"/>
      <c r="B62" s="24"/>
      <c r="C62" s="26"/>
      <c r="D62" s="143"/>
      <c r="E62" s="143"/>
      <c r="F62" s="143"/>
      <c r="G62" s="153" t="s">
        <v>170</v>
      </c>
      <c r="H62" s="172">
        <f>40640-25400</f>
        <v>15240</v>
      </c>
    </row>
    <row r="63" spans="1:8">
      <c r="A63" s="43"/>
      <c r="B63" s="24"/>
      <c r="C63" s="26"/>
      <c r="D63" s="143"/>
      <c r="E63" s="143"/>
      <c r="F63" s="143"/>
      <c r="G63" s="154" t="s">
        <v>70</v>
      </c>
      <c r="H63" s="167"/>
    </row>
    <row r="64" spans="1:8" s="210" customFormat="1">
      <c r="A64" s="214"/>
      <c r="B64" s="211"/>
      <c r="C64" s="212"/>
      <c r="D64" s="143"/>
      <c r="E64" s="143"/>
      <c r="F64" s="143"/>
      <c r="G64" s="208" t="s">
        <v>208</v>
      </c>
      <c r="H64" s="167">
        <f>2200-1000</f>
        <v>1200</v>
      </c>
    </row>
    <row r="65" spans="1:8">
      <c r="A65" s="43"/>
      <c r="B65" s="24"/>
      <c r="C65" s="26"/>
      <c r="D65" s="143"/>
      <c r="E65" s="143"/>
      <c r="F65" s="143"/>
      <c r="G65" s="153" t="s">
        <v>171</v>
      </c>
      <c r="H65" s="172">
        <f>21600-13500</f>
        <v>8100</v>
      </c>
    </row>
    <row r="66" spans="1:8">
      <c r="A66" s="43"/>
      <c r="B66" s="24"/>
      <c r="C66" s="26"/>
      <c r="D66" s="143"/>
      <c r="E66" s="143"/>
      <c r="F66" s="143"/>
      <c r="G66" s="148" t="s">
        <v>64</v>
      </c>
      <c r="H66" s="163">
        <f>SUM(H56:H65)</f>
        <v>35948</v>
      </c>
    </row>
    <row r="67" spans="1:8">
      <c r="A67" s="43"/>
      <c r="B67" s="24"/>
      <c r="C67" s="26"/>
      <c r="D67" s="143"/>
      <c r="E67" s="143"/>
      <c r="F67" s="143"/>
      <c r="G67" s="155" t="s">
        <v>72</v>
      </c>
      <c r="H67" s="168"/>
    </row>
    <row r="68" spans="1:8">
      <c r="A68" s="43"/>
      <c r="B68" s="24"/>
      <c r="C68" s="26"/>
      <c r="D68" s="143"/>
      <c r="E68" s="143"/>
      <c r="F68" s="143"/>
      <c r="G68" s="154" t="s">
        <v>69</v>
      </c>
      <c r="H68" s="167"/>
    </row>
    <row r="69" spans="1:8">
      <c r="A69" s="43"/>
      <c r="B69" s="24"/>
      <c r="C69" s="26"/>
      <c r="D69" s="143"/>
      <c r="E69" s="143"/>
      <c r="F69" s="143"/>
      <c r="G69" s="153" t="s">
        <v>172</v>
      </c>
      <c r="H69" s="172">
        <f>4000-3000</f>
        <v>1000</v>
      </c>
    </row>
    <row r="70" spans="1:8">
      <c r="A70" s="43"/>
      <c r="B70" s="24"/>
      <c r="C70" s="26"/>
      <c r="D70" s="143"/>
      <c r="E70" s="143"/>
      <c r="F70" s="143"/>
      <c r="G70" s="154" t="s">
        <v>67</v>
      </c>
      <c r="H70" s="167"/>
    </row>
    <row r="71" spans="1:8">
      <c r="A71" s="43"/>
      <c r="B71" s="24"/>
      <c r="C71" s="26"/>
      <c r="D71" s="143"/>
      <c r="E71" s="143"/>
      <c r="F71" s="143"/>
      <c r="G71" s="153" t="s">
        <v>173</v>
      </c>
      <c r="H71" s="172">
        <f>11000-12000</f>
        <v>-1000</v>
      </c>
    </row>
    <row r="72" spans="1:8">
      <c r="A72" s="43"/>
      <c r="B72" s="24"/>
      <c r="C72" s="26"/>
      <c r="D72" s="143"/>
      <c r="E72" s="143"/>
      <c r="F72" s="143"/>
      <c r="G72" s="148" t="s">
        <v>64</v>
      </c>
      <c r="H72" s="163">
        <f>SUM(H67:H71)</f>
        <v>0</v>
      </c>
    </row>
    <row r="73" spans="1:8">
      <c r="A73" s="43"/>
      <c r="B73" s="24"/>
      <c r="C73" s="26"/>
      <c r="D73" s="143"/>
      <c r="E73" s="143"/>
      <c r="F73" s="143"/>
      <c r="G73" s="142" t="s">
        <v>73</v>
      </c>
      <c r="H73" s="162"/>
    </row>
    <row r="74" spans="1:8">
      <c r="A74" s="43"/>
      <c r="B74" s="24"/>
      <c r="C74" s="26"/>
      <c r="D74" s="143"/>
      <c r="E74" s="143"/>
      <c r="F74" s="143"/>
      <c r="G74" s="149" t="s">
        <v>67</v>
      </c>
      <c r="H74" s="166"/>
    </row>
    <row r="75" spans="1:8" s="11" customFormat="1">
      <c r="A75" s="43"/>
      <c r="B75" s="24"/>
      <c r="C75" s="26"/>
      <c r="D75" s="143"/>
      <c r="E75" s="143"/>
      <c r="F75" s="143"/>
      <c r="G75" s="174" t="s">
        <v>233</v>
      </c>
      <c r="H75" s="176">
        <f>60*83+50*132+60*9</f>
        <v>12120</v>
      </c>
    </row>
    <row r="76" spans="1:8" s="11" customFormat="1">
      <c r="A76" s="43"/>
      <c r="B76" s="24"/>
      <c r="C76" s="26"/>
      <c r="D76" s="143"/>
      <c r="E76" s="143"/>
      <c r="F76" s="143"/>
      <c r="G76" s="175" t="s">
        <v>234</v>
      </c>
      <c r="H76" s="171">
        <f>18*1.07*600</f>
        <v>11556.000000000002</v>
      </c>
    </row>
    <row r="77" spans="1:8">
      <c r="A77" s="43"/>
      <c r="B77" s="24"/>
      <c r="C77" s="28"/>
      <c r="D77" s="144"/>
      <c r="E77" s="144"/>
      <c r="F77" s="144"/>
      <c r="G77" s="148" t="s">
        <v>64</v>
      </c>
      <c r="H77" s="163">
        <f>SUM(H73:H76)</f>
        <v>23676</v>
      </c>
    </row>
    <row r="78" spans="1:8">
      <c r="A78" s="43"/>
      <c r="B78" s="29" t="s">
        <v>74</v>
      </c>
      <c r="C78" s="30"/>
      <c r="D78" s="183">
        <f>E78+F78</f>
        <v>234419</v>
      </c>
      <c r="E78" s="183">
        <f>E79+E80</f>
        <v>258649</v>
      </c>
      <c r="F78" s="183">
        <f>F79+F80</f>
        <v>-24230</v>
      </c>
      <c r="G78" s="147"/>
      <c r="H78" s="161"/>
    </row>
    <row r="79" spans="1:8">
      <c r="A79" s="43"/>
      <c r="B79" s="24"/>
      <c r="C79" s="25" t="s">
        <v>75</v>
      </c>
      <c r="D79" s="173">
        <f>E79+F79</f>
        <v>0</v>
      </c>
      <c r="E79" s="173">
        <v>0</v>
      </c>
      <c r="F79" s="173">
        <v>0</v>
      </c>
      <c r="G79" s="156"/>
      <c r="H79" s="162"/>
    </row>
    <row r="80" spans="1:8">
      <c r="A80" s="43"/>
      <c r="B80" s="24"/>
      <c r="C80" s="26" t="s">
        <v>153</v>
      </c>
      <c r="D80" s="182">
        <f>E80+F80</f>
        <v>234419</v>
      </c>
      <c r="E80" s="182">
        <v>258649</v>
      </c>
      <c r="F80" s="182">
        <f>H82+H86+H94</f>
        <v>-24230</v>
      </c>
      <c r="G80" s="149" t="s">
        <v>70</v>
      </c>
      <c r="H80" s="166"/>
    </row>
    <row r="81" spans="1:8">
      <c r="A81" s="43"/>
      <c r="B81" s="24"/>
      <c r="C81" s="26"/>
      <c r="D81" s="182"/>
      <c r="E81" s="182"/>
      <c r="F81" s="182"/>
      <c r="G81" s="159" t="s">
        <v>222</v>
      </c>
      <c r="H81" s="177">
        <f>8000-2000</f>
        <v>6000</v>
      </c>
    </row>
    <row r="82" spans="1:8">
      <c r="A82" s="43"/>
      <c r="B82" s="24"/>
      <c r="C82" s="26"/>
      <c r="D82" s="182"/>
      <c r="E82" s="182"/>
      <c r="F82" s="182"/>
      <c r="G82" s="148" t="s">
        <v>64</v>
      </c>
      <c r="H82" s="163">
        <f>SUM(H80:H81)</f>
        <v>6000</v>
      </c>
    </row>
    <row r="83" spans="1:8">
      <c r="A83" s="43"/>
      <c r="B83" s="24"/>
      <c r="C83" s="26"/>
      <c r="D83" s="182"/>
      <c r="E83" s="182"/>
      <c r="F83" s="182"/>
      <c r="G83" s="157" t="s">
        <v>76</v>
      </c>
      <c r="H83" s="162"/>
    </row>
    <row r="84" spans="1:8">
      <c r="A84" s="43"/>
      <c r="B84" s="24"/>
      <c r="C84" s="26"/>
      <c r="D84" s="182"/>
      <c r="E84" s="182"/>
      <c r="F84" s="182"/>
      <c r="G84" s="149" t="s">
        <v>65</v>
      </c>
      <c r="H84" s="166"/>
    </row>
    <row r="85" spans="1:8">
      <c r="A85" s="43"/>
      <c r="B85" s="24"/>
      <c r="C85" s="26"/>
      <c r="D85" s="182"/>
      <c r="E85" s="182"/>
      <c r="F85" s="182"/>
      <c r="G85" s="204" t="s">
        <v>213</v>
      </c>
      <c r="H85" s="177">
        <f>170000-200000</f>
        <v>-30000</v>
      </c>
    </row>
    <row r="86" spans="1:8">
      <c r="A86" s="43"/>
      <c r="B86" s="24"/>
      <c r="C86" s="26"/>
      <c r="D86" s="182"/>
      <c r="E86" s="182"/>
      <c r="F86" s="182"/>
      <c r="G86" s="148" t="s">
        <v>64</v>
      </c>
      <c r="H86" s="163">
        <f>SUM(H85)</f>
        <v>-30000</v>
      </c>
    </row>
    <row r="87" spans="1:8">
      <c r="A87" s="43"/>
      <c r="B87" s="24"/>
      <c r="C87" s="26"/>
      <c r="D87" s="182"/>
      <c r="E87" s="182"/>
      <c r="F87" s="182"/>
      <c r="G87" s="157" t="s">
        <v>77</v>
      </c>
      <c r="H87" s="162"/>
    </row>
    <row r="88" spans="1:8" s="178" customFormat="1">
      <c r="A88" s="181"/>
      <c r="B88" s="179"/>
      <c r="C88" s="180"/>
      <c r="D88" s="182"/>
      <c r="E88" s="182"/>
      <c r="F88" s="182"/>
      <c r="G88" s="209" t="s">
        <v>204</v>
      </c>
      <c r="H88" s="166"/>
    </row>
    <row r="89" spans="1:8" s="178" customFormat="1">
      <c r="A89" s="181"/>
      <c r="B89" s="179"/>
      <c r="C89" s="180"/>
      <c r="D89" s="182"/>
      <c r="E89" s="182"/>
      <c r="F89" s="182"/>
      <c r="G89" s="213" t="s">
        <v>205</v>
      </c>
      <c r="H89" s="166">
        <f>0-4530</f>
        <v>-4530</v>
      </c>
    </row>
    <row r="90" spans="1:8" s="178" customFormat="1">
      <c r="A90" s="181"/>
      <c r="B90" s="179"/>
      <c r="C90" s="180"/>
      <c r="D90" s="182"/>
      <c r="E90" s="182"/>
      <c r="F90" s="182"/>
      <c r="G90" s="213" t="s">
        <v>206</v>
      </c>
      <c r="H90" s="166">
        <f>0-3200</f>
        <v>-3200</v>
      </c>
    </row>
    <row r="91" spans="1:8" s="178" customFormat="1">
      <c r="A91" s="181"/>
      <c r="B91" s="179"/>
      <c r="C91" s="180"/>
      <c r="D91" s="182"/>
      <c r="E91" s="182"/>
      <c r="F91" s="182"/>
      <c r="G91" s="206" t="s">
        <v>238</v>
      </c>
      <c r="H91" s="207">
        <v>6000</v>
      </c>
    </row>
    <row r="92" spans="1:8" s="11" customFormat="1">
      <c r="A92" s="43"/>
      <c r="B92" s="24"/>
      <c r="C92" s="26"/>
      <c r="D92" s="182"/>
      <c r="E92" s="182"/>
      <c r="F92" s="182"/>
      <c r="G92" s="149" t="s">
        <v>67</v>
      </c>
      <c r="H92" s="166"/>
    </row>
    <row r="93" spans="1:8" s="11" customFormat="1">
      <c r="A93" s="43"/>
      <c r="B93" s="24"/>
      <c r="C93" s="26"/>
      <c r="D93" s="182"/>
      <c r="E93" s="182"/>
      <c r="F93" s="182"/>
      <c r="G93" s="175" t="s">
        <v>235</v>
      </c>
      <c r="H93" s="171">
        <v>1500</v>
      </c>
    </row>
    <row r="94" spans="1:8">
      <c r="A94" s="43"/>
      <c r="B94" s="24"/>
      <c r="C94" s="26"/>
      <c r="D94" s="182"/>
      <c r="E94" s="182"/>
      <c r="F94" s="182"/>
      <c r="G94" s="148" t="s">
        <v>64</v>
      </c>
      <c r="H94" s="163">
        <f>SUM(H87:H93)</f>
        <v>-230</v>
      </c>
    </row>
    <row r="95" spans="1:8">
      <c r="A95" s="43"/>
      <c r="B95" s="29" t="s">
        <v>78</v>
      </c>
      <c r="C95" s="30"/>
      <c r="D95" s="146">
        <f>SUM(D96)</f>
        <v>52270</v>
      </c>
      <c r="E95" s="146">
        <v>52270</v>
      </c>
      <c r="F95" s="146">
        <f>D95-E95</f>
        <v>0</v>
      </c>
      <c r="G95" s="147"/>
      <c r="H95" s="161"/>
    </row>
    <row r="96" spans="1:8">
      <c r="A96" s="43"/>
      <c r="B96" s="24"/>
      <c r="C96" s="25" t="s">
        <v>154</v>
      </c>
      <c r="D96" s="141">
        <f>E96+F96</f>
        <v>52270</v>
      </c>
      <c r="E96" s="141">
        <v>52270</v>
      </c>
      <c r="F96" s="141">
        <v>0</v>
      </c>
      <c r="G96" s="142"/>
      <c r="H96" s="162"/>
    </row>
    <row r="97" spans="1:8">
      <c r="A97" s="41" t="s">
        <v>79</v>
      </c>
      <c r="B97" s="18"/>
      <c r="C97" s="19"/>
      <c r="D97" s="187">
        <f>SUM(D98,D104,D112)</f>
        <v>674500</v>
      </c>
      <c r="E97" s="187">
        <v>1321800</v>
      </c>
      <c r="F97" s="187">
        <f>D97-E97</f>
        <v>-647300</v>
      </c>
      <c r="G97" s="138"/>
      <c r="H97" s="165"/>
    </row>
    <row r="98" spans="1:8">
      <c r="A98" s="43"/>
      <c r="B98" s="29" t="s">
        <v>80</v>
      </c>
      <c r="C98" s="30"/>
      <c r="D98" s="183">
        <f>E98+F98</f>
        <v>124500</v>
      </c>
      <c r="E98" s="183">
        <v>121800</v>
      </c>
      <c r="F98" s="183">
        <f>F99</f>
        <v>2700</v>
      </c>
      <c r="G98" s="147"/>
      <c r="H98" s="161"/>
    </row>
    <row r="99" spans="1:8">
      <c r="A99" s="43"/>
      <c r="B99" s="24"/>
      <c r="C99" s="25" t="s">
        <v>80</v>
      </c>
      <c r="D99" s="173">
        <f>E99+F99</f>
        <v>102700</v>
      </c>
      <c r="E99" s="173">
        <v>100000</v>
      </c>
      <c r="F99" s="173">
        <f>H103</f>
        <v>2700</v>
      </c>
      <c r="G99" s="142" t="s">
        <v>69</v>
      </c>
      <c r="H99" s="162"/>
    </row>
    <row r="100" spans="1:8">
      <c r="A100" s="43"/>
      <c r="B100" s="24"/>
      <c r="C100" s="26"/>
      <c r="D100" s="182"/>
      <c r="E100" s="182"/>
      <c r="F100" s="182"/>
      <c r="G100" s="184" t="s">
        <v>174</v>
      </c>
      <c r="H100" s="185">
        <f>0-2000</f>
        <v>-2000</v>
      </c>
    </row>
    <row r="101" spans="1:8" s="178" customFormat="1">
      <c r="A101" s="181"/>
      <c r="B101" s="179"/>
      <c r="C101" s="180"/>
      <c r="D101" s="182"/>
      <c r="E101" s="182"/>
      <c r="F101" s="182"/>
      <c r="G101" s="149" t="s">
        <v>65</v>
      </c>
      <c r="H101" s="166"/>
    </row>
    <row r="102" spans="1:8" s="178" customFormat="1">
      <c r="A102" s="181"/>
      <c r="B102" s="179"/>
      <c r="C102" s="180"/>
      <c r="D102" s="182"/>
      <c r="E102" s="182"/>
      <c r="F102" s="182"/>
      <c r="G102" s="150" t="s">
        <v>236</v>
      </c>
      <c r="H102" s="166">
        <v>4700</v>
      </c>
    </row>
    <row r="103" spans="1:8" s="178" customFormat="1">
      <c r="A103" s="181"/>
      <c r="B103" s="179"/>
      <c r="C103" s="180"/>
      <c r="D103" s="182"/>
      <c r="E103" s="182"/>
      <c r="F103" s="182"/>
      <c r="G103" s="148" t="s">
        <v>58</v>
      </c>
      <c r="H103" s="163">
        <f>SUM(H100:H102)</f>
        <v>2700</v>
      </c>
    </row>
    <row r="104" spans="1:8">
      <c r="A104" s="43"/>
      <c r="B104" s="29" t="s">
        <v>81</v>
      </c>
      <c r="C104" s="30"/>
      <c r="D104" s="183">
        <f>SUM(D105:D109)</f>
        <v>550000</v>
      </c>
      <c r="E104" s="183">
        <v>1200000</v>
      </c>
      <c r="F104" s="183">
        <f>D104-E104</f>
        <v>-650000</v>
      </c>
      <c r="G104" s="147"/>
      <c r="H104" s="161"/>
    </row>
    <row r="105" spans="1:8">
      <c r="A105" s="43"/>
      <c r="B105" s="24"/>
      <c r="C105" s="25" t="s">
        <v>79</v>
      </c>
      <c r="D105" s="173">
        <f>E105+F105</f>
        <v>200000</v>
      </c>
      <c r="E105" s="173">
        <v>800000</v>
      </c>
      <c r="F105" s="173">
        <f>H108</f>
        <v>-600000</v>
      </c>
      <c r="G105" s="142" t="s">
        <v>65</v>
      </c>
      <c r="H105" s="162"/>
    </row>
    <row r="106" spans="1:8" s="11" customFormat="1">
      <c r="A106" s="43"/>
      <c r="B106" s="24"/>
      <c r="C106" s="26"/>
      <c r="D106" s="182"/>
      <c r="E106" s="182"/>
      <c r="F106" s="182"/>
      <c r="G106" s="175" t="s">
        <v>203</v>
      </c>
      <c r="H106" s="171">
        <f>0-800000</f>
        <v>-800000</v>
      </c>
    </row>
    <row r="107" spans="1:8">
      <c r="A107" s="43"/>
      <c r="B107" s="24"/>
      <c r="C107" s="26"/>
      <c r="D107" s="182"/>
      <c r="E107" s="182"/>
      <c r="F107" s="182"/>
      <c r="G107" s="175" t="s">
        <v>237</v>
      </c>
      <c r="H107" s="171">
        <v>200000</v>
      </c>
    </row>
    <row r="108" spans="1:8" s="11" customFormat="1">
      <c r="A108" s="43"/>
      <c r="B108" s="24"/>
      <c r="C108" s="26"/>
      <c r="D108" s="182"/>
      <c r="E108" s="182"/>
      <c r="F108" s="182"/>
      <c r="G108" s="148" t="s">
        <v>64</v>
      </c>
      <c r="H108" s="163">
        <f>SUM(H106:H107)</f>
        <v>-600000</v>
      </c>
    </row>
    <row r="109" spans="1:8">
      <c r="A109" s="43"/>
      <c r="B109" s="24"/>
      <c r="C109" s="26" t="s">
        <v>82</v>
      </c>
      <c r="D109" s="182">
        <f>E109+F109</f>
        <v>350000</v>
      </c>
      <c r="E109" s="182">
        <v>400000</v>
      </c>
      <c r="F109" s="182">
        <f>H111</f>
        <v>-50000</v>
      </c>
      <c r="G109" s="149" t="s">
        <v>65</v>
      </c>
      <c r="H109" s="166"/>
    </row>
    <row r="110" spans="1:8">
      <c r="A110" s="43"/>
      <c r="B110" s="24"/>
      <c r="C110" s="26"/>
      <c r="D110" s="182"/>
      <c r="E110" s="182"/>
      <c r="F110" s="182"/>
      <c r="G110" s="159" t="s">
        <v>175</v>
      </c>
      <c r="H110" s="177">
        <f>150000-200000</f>
        <v>-50000</v>
      </c>
    </row>
    <row r="111" spans="1:8" s="9" customFormat="1">
      <c r="A111" s="43"/>
      <c r="B111" s="24"/>
      <c r="C111" s="28"/>
      <c r="D111" s="186"/>
      <c r="E111" s="186"/>
      <c r="F111" s="186"/>
      <c r="G111" s="148" t="s">
        <v>64</v>
      </c>
      <c r="H111" s="163">
        <f>SUM(H110:H110)</f>
        <v>-50000</v>
      </c>
    </row>
    <row r="112" spans="1:8">
      <c r="A112" s="43"/>
      <c r="B112" s="29" t="s">
        <v>83</v>
      </c>
      <c r="C112" s="30"/>
      <c r="D112" s="146">
        <f>SUM(D113)</f>
        <v>0</v>
      </c>
      <c r="E112" s="146">
        <v>0</v>
      </c>
      <c r="F112" s="146"/>
      <c r="G112" s="147"/>
      <c r="H112" s="161"/>
    </row>
    <row r="113" spans="1:8">
      <c r="A113" s="43"/>
      <c r="B113" s="24"/>
      <c r="C113" s="25" t="s">
        <v>84</v>
      </c>
      <c r="D113" s="151"/>
      <c r="E113" s="151"/>
      <c r="F113" s="151"/>
      <c r="G113" s="152"/>
      <c r="H113" s="164"/>
    </row>
    <row r="114" spans="1:8">
      <c r="A114" s="41" t="s">
        <v>85</v>
      </c>
      <c r="B114" s="18"/>
      <c r="C114" s="19"/>
      <c r="D114" s="137">
        <f>E114+F114</f>
        <v>1124802</v>
      </c>
      <c r="E114" s="137">
        <f>E115</f>
        <v>1053262</v>
      </c>
      <c r="F114" s="137">
        <f>F115</f>
        <v>71540</v>
      </c>
      <c r="G114" s="138"/>
      <c r="H114" s="165"/>
    </row>
    <row r="115" spans="1:8">
      <c r="A115" s="43"/>
      <c r="B115" s="29" t="s">
        <v>85</v>
      </c>
      <c r="C115" s="30"/>
      <c r="D115" s="146">
        <f>SUM(D116:D129)</f>
        <v>1124802</v>
      </c>
      <c r="E115" s="146">
        <f t="shared" ref="E115" si="2">SUM(E116:E129)</f>
        <v>1053262</v>
      </c>
      <c r="F115" s="146">
        <f>SUM(F116:F129)</f>
        <v>71540</v>
      </c>
      <c r="G115" s="147"/>
      <c r="H115" s="161"/>
    </row>
    <row r="116" spans="1:8">
      <c r="A116" s="43"/>
      <c r="B116" s="24"/>
      <c r="C116" s="25" t="s">
        <v>86</v>
      </c>
      <c r="D116" s="141">
        <f>E116+F116</f>
        <v>668645</v>
      </c>
      <c r="E116" s="141">
        <v>663465</v>
      </c>
      <c r="F116" s="141">
        <f>H118</f>
        <v>5180</v>
      </c>
      <c r="G116" s="142" t="s">
        <v>65</v>
      </c>
      <c r="H116" s="162"/>
    </row>
    <row r="117" spans="1:8" s="10" customFormat="1">
      <c r="A117" s="43"/>
      <c r="B117" s="24"/>
      <c r="C117" s="26"/>
      <c r="D117" s="143"/>
      <c r="E117" s="143"/>
      <c r="F117" s="143"/>
      <c r="G117" s="205" t="s">
        <v>176</v>
      </c>
      <c r="H117" s="171">
        <f>246380-241200</f>
        <v>5180</v>
      </c>
    </row>
    <row r="118" spans="1:8" s="210" customFormat="1">
      <c r="A118" s="214"/>
      <c r="B118" s="211"/>
      <c r="C118" s="212"/>
      <c r="D118" s="143"/>
      <c r="E118" s="143"/>
      <c r="F118" s="143"/>
      <c r="G118" s="148" t="s">
        <v>64</v>
      </c>
      <c r="H118" s="163">
        <f>SUM(H117:H117)</f>
        <v>5180</v>
      </c>
    </row>
    <row r="119" spans="1:8" s="178" customFormat="1">
      <c r="A119" s="181"/>
      <c r="B119" s="179"/>
      <c r="C119" s="180" t="s">
        <v>180</v>
      </c>
      <c r="D119" s="143">
        <v>131037</v>
      </c>
      <c r="E119" s="143">
        <v>131037</v>
      </c>
      <c r="F119" s="143">
        <v>0</v>
      </c>
      <c r="G119" s="205"/>
      <c r="H119" s="171"/>
    </row>
    <row r="120" spans="1:8">
      <c r="A120" s="43"/>
      <c r="B120" s="24"/>
      <c r="C120" s="26" t="s">
        <v>11</v>
      </c>
      <c r="D120" s="143">
        <f>E120+F120</f>
        <v>290620</v>
      </c>
      <c r="E120" s="143">
        <v>224260</v>
      </c>
      <c r="F120" s="143">
        <f>H127</f>
        <v>66360</v>
      </c>
      <c r="G120" s="149" t="s">
        <v>88</v>
      </c>
      <c r="H120" s="166"/>
    </row>
    <row r="121" spans="1:8">
      <c r="A121" s="43"/>
      <c r="B121" s="24"/>
      <c r="C121" s="26"/>
      <c r="D121" s="143"/>
      <c r="E121" s="143"/>
      <c r="F121" s="143"/>
      <c r="G121" s="195" t="s">
        <v>193</v>
      </c>
      <c r="H121" s="171">
        <f>4960-5120</f>
        <v>-160</v>
      </c>
    </row>
    <row r="122" spans="1:8">
      <c r="A122" s="43"/>
      <c r="B122" s="24"/>
      <c r="C122" s="26"/>
      <c r="D122" s="143"/>
      <c r="E122" s="143"/>
      <c r="F122" s="143"/>
      <c r="G122" s="149" t="s">
        <v>89</v>
      </c>
      <c r="H122" s="166"/>
    </row>
    <row r="123" spans="1:8">
      <c r="A123" s="43"/>
      <c r="B123" s="24"/>
      <c r="C123" s="26"/>
      <c r="D123" s="143"/>
      <c r="E123" s="143"/>
      <c r="F123" s="143"/>
      <c r="G123" s="195" t="s">
        <v>177</v>
      </c>
      <c r="H123" s="171">
        <f>40160-40640</f>
        <v>-480</v>
      </c>
    </row>
    <row r="124" spans="1:8">
      <c r="A124" s="43"/>
      <c r="B124" s="24"/>
      <c r="C124" s="26"/>
      <c r="D124" s="143"/>
      <c r="E124" s="143"/>
      <c r="F124" s="143"/>
      <c r="G124" s="149" t="s">
        <v>90</v>
      </c>
      <c r="H124" s="166"/>
    </row>
    <row r="125" spans="1:8">
      <c r="A125" s="43"/>
      <c r="B125" s="24"/>
      <c r="C125" s="26"/>
      <c r="D125" s="143"/>
      <c r="E125" s="143"/>
      <c r="F125" s="143"/>
      <c r="G125" s="195" t="s">
        <v>195</v>
      </c>
      <c r="H125" s="171">
        <f>98000-48000</f>
        <v>50000</v>
      </c>
    </row>
    <row r="126" spans="1:8">
      <c r="A126" s="43"/>
      <c r="B126" s="24"/>
      <c r="C126" s="26"/>
      <c r="D126" s="143"/>
      <c r="E126" s="143"/>
      <c r="F126" s="143"/>
      <c r="G126" s="197" t="s">
        <v>178</v>
      </c>
      <c r="H126" s="177">
        <f>147500-130500</f>
        <v>17000</v>
      </c>
    </row>
    <row r="127" spans="1:8" s="11" customFormat="1">
      <c r="A127" s="43"/>
      <c r="B127" s="24"/>
      <c r="C127" s="180"/>
      <c r="D127" s="143"/>
      <c r="E127" s="143"/>
      <c r="F127" s="143"/>
      <c r="G127" s="148" t="s">
        <v>87</v>
      </c>
      <c r="H127" s="163">
        <f>SUM(H120:H126)</f>
        <v>66360</v>
      </c>
    </row>
    <row r="128" spans="1:8" s="178" customFormat="1">
      <c r="A128" s="181"/>
      <c r="B128" s="179"/>
      <c r="C128" s="180" t="s">
        <v>182</v>
      </c>
      <c r="D128" s="143">
        <v>7500</v>
      </c>
      <c r="E128" s="143">
        <v>7500</v>
      </c>
      <c r="F128" s="143">
        <v>0</v>
      </c>
      <c r="G128" s="217"/>
      <c r="H128" s="218"/>
    </row>
    <row r="129" spans="1:8" s="178" customFormat="1">
      <c r="A129" s="181"/>
      <c r="B129" s="179"/>
      <c r="C129" s="180" t="s">
        <v>183</v>
      </c>
      <c r="D129" s="143">
        <v>27000</v>
      </c>
      <c r="E129" s="143">
        <v>27000</v>
      </c>
      <c r="F129" s="143">
        <v>0</v>
      </c>
      <c r="G129" s="215"/>
      <c r="H129" s="216"/>
    </row>
    <row r="130" spans="1:8">
      <c r="A130" s="41" t="s">
        <v>91</v>
      </c>
      <c r="B130" s="18"/>
      <c r="C130" s="19"/>
      <c r="D130" s="137">
        <f>SUM(D131,D134)</f>
        <v>336000</v>
      </c>
      <c r="E130" s="137">
        <v>336000</v>
      </c>
      <c r="F130" s="137">
        <f>D130-E130</f>
        <v>0</v>
      </c>
      <c r="G130" s="138"/>
      <c r="H130" s="165"/>
    </row>
    <row r="131" spans="1:8">
      <c r="A131" s="43"/>
      <c r="B131" s="29" t="s">
        <v>91</v>
      </c>
      <c r="C131" s="30"/>
      <c r="D131" s="146">
        <f>SUM(D132:D133)</f>
        <v>300000</v>
      </c>
      <c r="E131" s="146">
        <v>300000</v>
      </c>
      <c r="F131" s="146">
        <f>D131-E131</f>
        <v>0</v>
      </c>
      <c r="G131" s="147"/>
      <c r="H131" s="161"/>
    </row>
    <row r="132" spans="1:8">
      <c r="A132" s="43"/>
      <c r="B132" s="24"/>
      <c r="C132" s="28" t="s">
        <v>92</v>
      </c>
      <c r="D132" s="151"/>
      <c r="E132" s="151"/>
      <c r="F132" s="151"/>
      <c r="G132" s="152"/>
      <c r="H132" s="164"/>
    </row>
    <row r="133" spans="1:8">
      <c r="A133" s="43"/>
      <c r="B133" s="24"/>
      <c r="C133" s="34" t="s">
        <v>93</v>
      </c>
      <c r="D133" s="151">
        <v>300000</v>
      </c>
      <c r="E133" s="151">
        <v>300000</v>
      </c>
      <c r="F133" s="151">
        <f>D133-E133</f>
        <v>0</v>
      </c>
      <c r="G133" s="152"/>
      <c r="H133" s="164"/>
    </row>
    <row r="134" spans="1:8">
      <c r="A134" s="43"/>
      <c r="B134" s="29" t="s">
        <v>94</v>
      </c>
      <c r="C134" s="30"/>
      <c r="D134" s="146">
        <f>SUM(D135)</f>
        <v>36000</v>
      </c>
      <c r="E134" s="146">
        <v>36000</v>
      </c>
      <c r="F134" s="146">
        <f>F135</f>
        <v>0</v>
      </c>
      <c r="G134" s="147"/>
      <c r="H134" s="161"/>
    </row>
    <row r="135" spans="1:8">
      <c r="A135" s="43"/>
      <c r="B135" s="24"/>
      <c r="C135" s="25" t="s">
        <v>94</v>
      </c>
      <c r="D135" s="151">
        <v>36000</v>
      </c>
      <c r="E135" s="151">
        <v>36000</v>
      </c>
      <c r="F135" s="151">
        <f>D135-E135</f>
        <v>0</v>
      </c>
      <c r="G135" s="152"/>
      <c r="H135" s="164"/>
    </row>
    <row r="136" spans="1:8">
      <c r="A136" s="41" t="s">
        <v>95</v>
      </c>
      <c r="B136" s="18"/>
      <c r="C136" s="19"/>
      <c r="D136" s="137">
        <f>SUM(D137,D139,D141,D143,D145)</f>
        <v>1118071</v>
      </c>
      <c r="E136" s="137">
        <v>0</v>
      </c>
      <c r="F136" s="137">
        <f>D136-E136</f>
        <v>1118071</v>
      </c>
      <c r="G136" s="138"/>
      <c r="H136" s="165"/>
    </row>
    <row r="137" spans="1:8">
      <c r="A137" s="43"/>
      <c r="B137" s="29" t="s">
        <v>96</v>
      </c>
      <c r="C137" s="30"/>
      <c r="D137" s="146">
        <f>SUM(D138)</f>
        <v>1118071</v>
      </c>
      <c r="E137" s="146">
        <v>0</v>
      </c>
      <c r="F137" s="146">
        <f>D137-E137</f>
        <v>1118071</v>
      </c>
      <c r="G137" s="147"/>
      <c r="H137" s="161"/>
    </row>
    <row r="138" spans="1:8">
      <c r="A138" s="43"/>
      <c r="B138" s="24"/>
      <c r="C138" s="28" t="s">
        <v>96</v>
      </c>
      <c r="D138" s="151">
        <f>H138</f>
        <v>1118071</v>
      </c>
      <c r="E138" s="151">
        <v>0</v>
      </c>
      <c r="F138" s="151">
        <f>D138-E138</f>
        <v>1118071</v>
      </c>
      <c r="G138" s="152" t="s">
        <v>210</v>
      </c>
      <c r="H138" s="164">
        <f>1118113-42</f>
        <v>1118071</v>
      </c>
    </row>
    <row r="139" spans="1:8">
      <c r="A139" s="43"/>
      <c r="B139" s="29" t="s">
        <v>97</v>
      </c>
      <c r="C139" s="30"/>
      <c r="D139" s="146">
        <f>SUM(D140)</f>
        <v>0</v>
      </c>
      <c r="E139" s="146">
        <v>0</v>
      </c>
      <c r="F139" s="146"/>
      <c r="G139" s="147"/>
      <c r="H139" s="161"/>
    </row>
    <row r="140" spans="1:8">
      <c r="A140" s="43"/>
      <c r="B140" s="24"/>
      <c r="C140" s="34" t="s">
        <v>98</v>
      </c>
      <c r="D140" s="151"/>
      <c r="E140" s="151"/>
      <c r="F140" s="151"/>
      <c r="G140" s="152"/>
      <c r="H140" s="164"/>
    </row>
    <row r="141" spans="1:8">
      <c r="A141" s="43"/>
      <c r="B141" s="29" t="s">
        <v>99</v>
      </c>
      <c r="C141" s="30"/>
      <c r="D141" s="146">
        <f>SUM(D142)</f>
        <v>0</v>
      </c>
      <c r="E141" s="146">
        <v>0</v>
      </c>
      <c r="F141" s="146"/>
      <c r="G141" s="147"/>
      <c r="H141" s="161"/>
    </row>
    <row r="142" spans="1:8">
      <c r="A142" s="43"/>
      <c r="B142" s="24"/>
      <c r="C142" s="28" t="s">
        <v>99</v>
      </c>
      <c r="D142" s="151"/>
      <c r="E142" s="151"/>
      <c r="F142" s="151"/>
      <c r="G142" s="152"/>
      <c r="H142" s="164"/>
    </row>
    <row r="143" spans="1:8">
      <c r="A143" s="43"/>
      <c r="B143" s="29" t="s">
        <v>100</v>
      </c>
      <c r="C143" s="30"/>
      <c r="D143" s="146">
        <f>SUM(D144)</f>
        <v>0</v>
      </c>
      <c r="E143" s="146">
        <v>0</v>
      </c>
      <c r="F143" s="146"/>
      <c r="G143" s="147"/>
      <c r="H143" s="161"/>
    </row>
    <row r="144" spans="1:8">
      <c r="A144" s="43"/>
      <c r="B144" s="24"/>
      <c r="C144" s="34" t="s">
        <v>100</v>
      </c>
      <c r="D144" s="151"/>
      <c r="E144" s="151"/>
      <c r="F144" s="151"/>
      <c r="G144" s="152"/>
      <c r="H144" s="164"/>
    </row>
    <row r="145" spans="1:8">
      <c r="A145" s="43"/>
      <c r="B145" s="29" t="s">
        <v>101</v>
      </c>
      <c r="C145" s="30"/>
      <c r="D145" s="146">
        <f>SUM(D146)</f>
        <v>0</v>
      </c>
      <c r="E145" s="146">
        <v>0</v>
      </c>
      <c r="F145" s="146"/>
      <c r="G145" s="147"/>
      <c r="H145" s="161"/>
    </row>
    <row r="146" spans="1:8">
      <c r="A146" s="43"/>
      <c r="B146" s="24"/>
      <c r="C146" s="34" t="s">
        <v>101</v>
      </c>
      <c r="D146" s="151"/>
      <c r="E146" s="151"/>
      <c r="F146" s="151"/>
      <c r="G146" s="152"/>
      <c r="H146" s="164"/>
    </row>
    <row r="147" spans="1:8">
      <c r="A147" s="41" t="s">
        <v>102</v>
      </c>
      <c r="B147" s="18"/>
      <c r="C147" s="19"/>
      <c r="D147" s="137">
        <f>SUM(D148)</f>
        <v>0</v>
      </c>
      <c r="E147" s="137">
        <v>0</v>
      </c>
      <c r="F147" s="137"/>
      <c r="G147" s="138"/>
      <c r="H147" s="165"/>
    </row>
    <row r="148" spans="1:8">
      <c r="A148" s="43"/>
      <c r="B148" s="29" t="s">
        <v>103</v>
      </c>
      <c r="C148" s="30"/>
      <c r="D148" s="146">
        <f>SUM(D149:D150)</f>
        <v>0</v>
      </c>
      <c r="E148" s="146">
        <v>0</v>
      </c>
      <c r="F148" s="146"/>
      <c r="G148" s="147"/>
      <c r="H148" s="161"/>
    </row>
    <row r="149" spans="1:8">
      <c r="A149" s="43"/>
      <c r="B149" s="24"/>
      <c r="C149" s="25" t="s">
        <v>104</v>
      </c>
      <c r="D149" s="151"/>
      <c r="E149" s="151"/>
      <c r="F149" s="151"/>
      <c r="G149" s="152"/>
      <c r="H149" s="164"/>
    </row>
    <row r="150" spans="1:8">
      <c r="A150" s="43"/>
      <c r="B150" s="24"/>
      <c r="C150" s="25" t="s">
        <v>105</v>
      </c>
      <c r="D150" s="151"/>
      <c r="E150" s="151"/>
      <c r="F150" s="151"/>
      <c r="G150" s="152"/>
      <c r="H150" s="164"/>
    </row>
    <row r="151" spans="1:8" ht="17.25" thickBot="1">
      <c r="A151" s="45" t="s">
        <v>135</v>
      </c>
      <c r="B151" s="46"/>
      <c r="C151" s="47"/>
      <c r="D151" s="158">
        <f>D5+D24+D97+D114+D136+D147+D130</f>
        <v>12270108</v>
      </c>
      <c r="E151" s="158">
        <f>E5+E24+E97+E114+E136+E147+E130</f>
        <v>10851683</v>
      </c>
      <c r="F151" s="158">
        <f>ROUNDUP(SUM(F5,F24,F97,F114,F130,F136,F147),0)</f>
        <v>1418425</v>
      </c>
      <c r="G151" s="48"/>
      <c r="H151" s="169"/>
    </row>
    <row r="152" spans="1:8" ht="17.25" thickBot="1">
      <c r="A152" s="12"/>
      <c r="B152" s="12"/>
      <c r="C152" s="35" t="s">
        <v>106</v>
      </c>
      <c r="D152" s="36" t="b">
        <f>'(학교회계) 세입 예산서'!D73=D151</f>
        <v>1</v>
      </c>
      <c r="E152" s="36" t="b">
        <f>'(학교회계) 세입 예산서'!E73=E151</f>
        <v>1</v>
      </c>
      <c r="F152" s="36" t="b">
        <f>'(학교회계) 세입 예산서'!F73=F151</f>
        <v>1</v>
      </c>
      <c r="G152" s="13"/>
      <c r="H152" s="13"/>
    </row>
    <row r="153" spans="1:8">
      <c r="A153" s="12"/>
      <c r="B153" s="12"/>
      <c r="C153" s="14"/>
      <c r="D153" s="15">
        <f>D151-'(학교회계) 세입 예산서'!D73</f>
        <v>0</v>
      </c>
      <c r="E153" s="15">
        <f>'(학교회계) 세입 예산서'!E73-'(학교회계) 세출 예산서'!E151</f>
        <v>0</v>
      </c>
      <c r="F153" s="15">
        <f>'(학교회계) 세입 예산서'!F73-'(학교회계) 세출 예산서'!F151</f>
        <v>0</v>
      </c>
      <c r="G153" s="13"/>
      <c r="H153" s="13"/>
    </row>
  </sheetData>
  <mergeCells count="3">
    <mergeCell ref="A1:H1"/>
    <mergeCell ref="G3:G4"/>
    <mergeCell ref="H3:H4"/>
  </mergeCells>
  <phoneticPr fontId="2" type="noConversion"/>
  <conditionalFormatting sqref="D152:F152">
    <cfRule type="containsText" dxfId="0" priority="1" operator="containsText" text="False">
      <formula>NOT(ISERROR(SEARCH("False",D152)))</formula>
    </cfRule>
  </conditionalFormatting>
  <pageMargins left="0.39370078740157483" right="0.39370078740157483" top="0.74803149606299213" bottom="0.74803149606299213" header="0.31496062992125984" footer="0.31496062992125984"/>
  <pageSetup paperSize="9" scale="49" orientation="portrait" r:id="rId1"/>
  <headerFooter>
    <oddFooter>&amp;C&amp;A&amp;R&amp;P페이지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표지</vt:lpstr>
      <vt:lpstr>총칙</vt:lpstr>
      <vt:lpstr>총괄표</vt:lpstr>
      <vt:lpstr>(학교회계) 세입 예산서</vt:lpstr>
      <vt:lpstr>(학교회계) 세출 예산서</vt:lpstr>
      <vt:lpstr>'(학교회계) 세입 예산서'!Print_Area</vt:lpstr>
      <vt:lpstr>'(학교회계) 세출 예산서'!Print_Area</vt:lpstr>
      <vt:lpstr>총괄표!Print_Area</vt:lpstr>
      <vt:lpstr>'(학교회계) 세입 예산서'!Print_Titles</vt:lpstr>
      <vt:lpstr>'(학교회계) 세출 예산서'!Print_Titles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kfpp04</dc:creator>
  <cp:lastModifiedBy>Registered User</cp:lastModifiedBy>
  <cp:lastPrinted>2019-05-22T08:48:22Z</cp:lastPrinted>
  <dcterms:created xsi:type="dcterms:W3CDTF">2018-07-11T02:32:32Z</dcterms:created>
  <dcterms:modified xsi:type="dcterms:W3CDTF">2019-07-25T00:38:59Z</dcterms:modified>
</cp:coreProperties>
</file>